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827"/>
  <workbookPr filterPrivacy="1" defaultThemeVersion="124226"/>
  <xr:revisionPtr revIDLastSave="0" documentId="13_ncr:1_{E487D41B-B0EB-4FCE-B9D1-7C718444310B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Entry" sheetId="1" r:id="rId1"/>
    <sheet name="college list" sheetId="7" state="hidden" r:id="rId2"/>
    <sheet name="Pay Details" sheetId="4" r:id="rId3"/>
    <sheet name="PAGE 1 &amp; 2" sheetId="5" r:id="rId4"/>
    <sheet name="PAGE 3" sheetId="6" r:id="rId5"/>
  </sheets>
  <externalReferences>
    <externalReference r:id="rId6"/>
  </externalReferences>
  <definedNames>
    <definedName name="Colleg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5" i="1" l="1"/>
  <c r="K25" i="1"/>
  <c r="C23" i="4"/>
  <c r="C22" i="4"/>
  <c r="J22" i="4" s="1"/>
  <c r="D31" i="5"/>
  <c r="D19" i="5"/>
  <c r="F49" i="6"/>
  <c r="D33" i="5" s="1"/>
  <c r="F13" i="6"/>
  <c r="D29" i="5" s="1"/>
  <c r="B14" i="5"/>
  <c r="B8" i="5"/>
  <c r="B4" i="5" l="1"/>
  <c r="L9" i="4" l="1"/>
  <c r="B82" i="5"/>
  <c r="B51" i="6"/>
  <c r="B3" i="5"/>
  <c r="F37" i="6"/>
  <c r="D27" i="5" s="1"/>
  <c r="F25" i="6"/>
  <c r="D28" i="5" s="1"/>
  <c r="S20" i="4"/>
  <c r="S19" i="4"/>
  <c r="S18" i="4"/>
  <c r="S17" i="4"/>
  <c r="S16" i="4"/>
  <c r="S15" i="4"/>
  <c r="S14" i="4"/>
  <c r="S13" i="4"/>
  <c r="S11" i="4"/>
  <c r="S9" i="4"/>
  <c r="H9" i="4"/>
  <c r="G9" i="4"/>
  <c r="F9" i="4"/>
  <c r="E9" i="4"/>
  <c r="K9" i="4"/>
  <c r="M9" i="4"/>
  <c r="N9" i="4"/>
  <c r="B5" i="5"/>
  <c r="B56" i="5"/>
  <c r="B55" i="5"/>
  <c r="B60" i="5"/>
  <c r="B59" i="5"/>
  <c r="B58" i="5"/>
  <c r="B57" i="5"/>
  <c r="B54" i="5"/>
  <c r="D21" i="5"/>
  <c r="B84" i="5"/>
  <c r="D8" i="5"/>
  <c r="D16" i="5"/>
  <c r="B1" i="5"/>
  <c r="J33" i="4"/>
  <c r="Q14" i="4"/>
  <c r="C9" i="4"/>
  <c r="B4" i="4"/>
  <c r="B53" i="6"/>
  <c r="B76" i="5"/>
  <c r="B33" i="4"/>
  <c r="P20" i="4"/>
  <c r="O10" i="4" l="1"/>
  <c r="O11" i="4" s="1"/>
  <c r="O12" i="4" s="1"/>
  <c r="O13" i="4" s="1"/>
  <c r="O14" i="4" s="1"/>
  <c r="O15" i="4" s="1"/>
  <c r="O16" i="4" s="1"/>
  <c r="O17" i="4" s="1"/>
  <c r="O18" i="4" s="1"/>
  <c r="O19" i="4" s="1"/>
  <c r="M10" i="4"/>
  <c r="G10" i="4"/>
  <c r="G11" i="4" s="1"/>
  <c r="G12" i="4" s="1"/>
  <c r="G13" i="4" s="1"/>
  <c r="G14" i="4" s="1"/>
  <c r="G15" i="4" s="1"/>
  <c r="G16" i="4" s="1"/>
  <c r="G17" i="4" s="1"/>
  <c r="G18" i="4" s="1"/>
  <c r="G19" i="4" s="1"/>
  <c r="G20" i="4" s="1"/>
  <c r="N10" i="4"/>
  <c r="N11" i="4" s="1"/>
  <c r="N12" i="4" s="1"/>
  <c r="N13" i="4" s="1"/>
  <c r="N14" i="4" s="1"/>
  <c r="N15" i="4" s="1"/>
  <c r="N16" i="4" s="1"/>
  <c r="N17" i="4" s="1"/>
  <c r="N18" i="4" s="1"/>
  <c r="N19" i="4" s="1"/>
  <c r="N20" i="4" s="1"/>
  <c r="H10" i="4"/>
  <c r="H11" i="4" s="1"/>
  <c r="H12" i="4" s="1"/>
  <c r="H13" i="4" s="1"/>
  <c r="H14" i="4" s="1"/>
  <c r="H15" i="4" s="1"/>
  <c r="H16" i="4" s="1"/>
  <c r="H17" i="4" s="1"/>
  <c r="H18" i="4" s="1"/>
  <c r="H19" i="4" s="1"/>
  <c r="H20" i="4" s="1"/>
  <c r="F10" i="4"/>
  <c r="F11" i="4" s="1"/>
  <c r="F12" i="4" s="1"/>
  <c r="F13" i="4" s="1"/>
  <c r="F14" i="4" s="1"/>
  <c r="F15" i="4" s="1"/>
  <c r="F16" i="4" s="1"/>
  <c r="F17" i="4" s="1"/>
  <c r="F18" i="4" s="1"/>
  <c r="F19" i="4" s="1"/>
  <c r="F20" i="4" s="1"/>
  <c r="D9" i="4"/>
  <c r="E10" i="4"/>
  <c r="E11" i="4" s="1"/>
  <c r="E12" i="4" s="1"/>
  <c r="L10" i="4"/>
  <c r="L11" i="4" s="1"/>
  <c r="L12" i="4" s="1"/>
  <c r="L13" i="4" s="1"/>
  <c r="L14" i="4" s="1"/>
  <c r="L16" i="4" s="1"/>
  <c r="L17" i="4" s="1"/>
  <c r="L18" i="4" s="1"/>
  <c r="L19" i="4" s="1"/>
  <c r="L20" i="4" s="1"/>
  <c r="C10" i="4"/>
  <c r="C11" i="4" s="1"/>
  <c r="P10" i="4"/>
  <c r="Q19" i="4"/>
  <c r="Q25" i="4" s="1"/>
  <c r="D11" i="5"/>
  <c r="P9" i="4"/>
  <c r="K10" i="4"/>
  <c r="K11" i="4" s="1"/>
  <c r="K12" i="4" s="1"/>
  <c r="K13" i="4" s="1"/>
  <c r="K14" i="4" s="1"/>
  <c r="K15" i="4" s="1"/>
  <c r="K16" i="4" s="1"/>
  <c r="K17" i="4" s="1"/>
  <c r="K18" i="4" s="1"/>
  <c r="K19" i="4" s="1"/>
  <c r="K20" i="4" s="1"/>
  <c r="G25" i="4" l="1"/>
  <c r="L25" i="4"/>
  <c r="F25" i="4"/>
  <c r="N25" i="4"/>
  <c r="I9" i="4"/>
  <c r="H25" i="4"/>
  <c r="K25" i="4"/>
  <c r="O25" i="4"/>
  <c r="M11" i="4"/>
  <c r="M12" i="4" s="1"/>
  <c r="M13" i="4" s="1"/>
  <c r="M14" i="4" s="1"/>
  <c r="M15" i="4" s="1"/>
  <c r="M16" i="4" s="1"/>
  <c r="M17" i="4" s="1"/>
  <c r="M18" i="4" s="1"/>
  <c r="M19" i="4" s="1"/>
  <c r="M20" i="4" s="1"/>
  <c r="D17" i="5"/>
  <c r="C12" i="4"/>
  <c r="D10" i="4"/>
  <c r="P11" i="4"/>
  <c r="D11" i="4"/>
  <c r="E13" i="4"/>
  <c r="R9" i="4" l="1"/>
  <c r="M25" i="4"/>
  <c r="D26" i="5"/>
  <c r="D39" i="5"/>
  <c r="D12" i="4"/>
  <c r="C13" i="4"/>
  <c r="I10" i="4"/>
  <c r="P12" i="4"/>
  <c r="I11" i="4"/>
  <c r="E14" i="4"/>
  <c r="R10" i="4" l="1"/>
  <c r="S10" i="4"/>
  <c r="D13" i="4"/>
  <c r="C14" i="4"/>
  <c r="I12" i="4"/>
  <c r="S12" i="4" s="1"/>
  <c r="P13" i="4"/>
  <c r="R11" i="4"/>
  <c r="E15" i="4"/>
  <c r="R12" i="4" l="1"/>
  <c r="S25" i="4"/>
  <c r="D41" i="5" s="1"/>
  <c r="P15" i="4"/>
  <c r="I13" i="4"/>
  <c r="C15" i="4"/>
  <c r="D14" i="4"/>
  <c r="P14" i="4"/>
  <c r="E16" i="4"/>
  <c r="R13" i="4" l="1"/>
  <c r="P18" i="4"/>
  <c r="I14" i="4"/>
  <c r="C16" i="4"/>
  <c r="D15" i="4"/>
  <c r="P16" i="4"/>
  <c r="E17" i="4"/>
  <c r="R14" i="4" l="1"/>
  <c r="I15" i="4"/>
  <c r="C17" i="4"/>
  <c r="D17" i="4" s="1"/>
  <c r="C18" i="4"/>
  <c r="D16" i="4"/>
  <c r="I16" i="4" s="1"/>
  <c r="P17" i="4"/>
  <c r="E18" i="4"/>
  <c r="R16" i="4" l="1"/>
  <c r="R15" i="4"/>
  <c r="D18" i="4"/>
  <c r="C19" i="4"/>
  <c r="D19" i="4" s="1"/>
  <c r="I17" i="4"/>
  <c r="R17" i="4" s="1"/>
  <c r="P19" i="4"/>
  <c r="P25" i="4" s="1"/>
  <c r="E19" i="4"/>
  <c r="I18" i="4" l="1"/>
  <c r="R18" i="4" s="1"/>
  <c r="D66" i="5"/>
  <c r="C20" i="4"/>
  <c r="C25" i="4" s="1"/>
  <c r="E20" i="4"/>
  <c r="E25" i="4" s="1"/>
  <c r="D20" i="4" l="1"/>
  <c r="I19" i="4"/>
  <c r="R19" i="4" s="1"/>
  <c r="D9" i="5" l="1"/>
  <c r="D25" i="4"/>
  <c r="I20" i="4"/>
  <c r="D10" i="5"/>
  <c r="I25" i="4" l="1"/>
  <c r="D6" i="5" s="1"/>
  <c r="R20" i="4"/>
  <c r="R25" i="4" s="1"/>
  <c r="J25" i="4"/>
  <c r="D38" i="5" s="1"/>
  <c r="D13" i="5"/>
  <c r="D15" i="5" l="1"/>
  <c r="D18" i="5" s="1"/>
  <c r="D20" i="5" s="1"/>
  <c r="D22" i="5" s="1"/>
  <c r="D25" i="5"/>
  <c r="D36" i="5" l="1"/>
  <c r="D37" i="5" s="1"/>
  <c r="D44" i="5" s="1"/>
  <c r="D45" i="5" s="1"/>
  <c r="D46" i="5" s="1"/>
  <c r="D55" i="5" s="1"/>
  <c r="D54" i="5" l="1"/>
  <c r="D62" i="5"/>
  <c r="D58" i="5"/>
  <c r="D60" i="5"/>
  <c r="D59" i="5"/>
  <c r="D56" i="5"/>
  <c r="D57" i="5"/>
  <c r="D61" i="5" l="1"/>
  <c r="D63" i="5" s="1"/>
  <c r="D64" i="5" s="1"/>
  <c r="D65" i="5" s="1"/>
  <c r="D71" i="5" s="1"/>
  <c r="D70" i="5" l="1"/>
  <c r="D69" i="5"/>
  <c r="D68" i="5" l="1"/>
</calcChain>
</file>

<file path=xl/sharedStrings.xml><?xml version="1.0" encoding="utf-8"?>
<sst xmlns="http://schemas.openxmlformats.org/spreadsheetml/2006/main" count="403" uniqueCount="319">
  <si>
    <t>Chikkanna Govt. Arts College, Tirupur-2</t>
  </si>
  <si>
    <t>Name of the Staff</t>
  </si>
  <si>
    <t>PAN</t>
  </si>
  <si>
    <t>Department</t>
  </si>
  <si>
    <t>Mobile No.</t>
  </si>
  <si>
    <t>Name of College</t>
  </si>
  <si>
    <t>College TAN</t>
  </si>
  <si>
    <t>Designation</t>
  </si>
  <si>
    <t>Pay Details</t>
  </si>
  <si>
    <t>HRA</t>
  </si>
  <si>
    <t>SPF</t>
  </si>
  <si>
    <t>GPF/CPS</t>
  </si>
  <si>
    <t>Enter PLI</t>
  </si>
  <si>
    <t>Enter HBA PRIN.</t>
  </si>
  <si>
    <t>Enter HBA INT.</t>
  </si>
  <si>
    <t>Enter IT DEDUCTED. If IT Deducted increased/ decreased enter the amount in respective Cell of the month alone</t>
  </si>
  <si>
    <t>Income Tax remitted by Challan</t>
  </si>
  <si>
    <t>Enter PT</t>
  </si>
  <si>
    <t>Enter monthly rent paid</t>
  </si>
  <si>
    <t>Enter pongal exgratia</t>
  </si>
  <si>
    <t>Enter the month (1/4/7/10) of increment</t>
  </si>
  <si>
    <t>STATEMENT SHOWING PAY AND ALLOWANCES DRAWN</t>
  </si>
  <si>
    <t>SALARY</t>
  </si>
  <si>
    <t>DEDUCTIONS</t>
  </si>
  <si>
    <t>NET SALARY</t>
  </si>
  <si>
    <t>MONTH &amp; YEAR</t>
  </si>
  <si>
    <t>PAY</t>
  </si>
  <si>
    <t>D. A</t>
  </si>
  <si>
    <t>H. R. A</t>
  </si>
  <si>
    <t>C. C. A</t>
  </si>
  <si>
    <t>M. A</t>
  </si>
  <si>
    <t>C.A</t>
  </si>
  <si>
    <t>GROSS   SALARY</t>
  </si>
  <si>
    <t>GPF / CPS</t>
  </si>
  <si>
    <t>FBF</t>
  </si>
  <si>
    <t>NHIS</t>
  </si>
  <si>
    <t>PLI</t>
  </si>
  <si>
    <t>INCOME TAX</t>
  </si>
  <si>
    <t>IT CESS</t>
  </si>
  <si>
    <t xml:space="preserve">P. T. </t>
  </si>
  <si>
    <t>Rs.</t>
  </si>
  <si>
    <t>Overpayment Recovery</t>
  </si>
  <si>
    <t>Other income if any</t>
  </si>
  <si>
    <t>TOTAL</t>
  </si>
  <si>
    <t>Station : Tirupur</t>
  </si>
  <si>
    <t xml:space="preserve">Signature     :   </t>
  </si>
  <si>
    <t xml:space="preserve"> -4-</t>
  </si>
  <si>
    <r>
      <t>1.</t>
    </r>
    <r>
      <rPr>
        <sz val="10"/>
        <rFont val="Arial"/>
        <family val="2"/>
      </rPr>
      <t xml:space="preserve">  Total salary including H.R.A./Honorarium, etc. (excluding cash allowance if any).</t>
    </r>
  </si>
  <si>
    <t>:Rs.</t>
  </si>
  <si>
    <r>
      <t>2.</t>
    </r>
    <r>
      <rPr>
        <sz val="10"/>
        <rFont val="Arial"/>
        <family val="2"/>
      </rPr>
      <t xml:space="preserve">   </t>
    </r>
    <r>
      <rPr>
        <b/>
        <sz val="10"/>
        <rFont val="Arial"/>
        <family val="2"/>
      </rPr>
      <t xml:space="preserve">LESS :   H.R.A. exempted under I.T. Rules under section 10 (13 A)            </t>
    </r>
  </si>
  <si>
    <t xml:space="preserve">               (b)  10 % of pay + DA</t>
  </si>
  <si>
    <t xml:space="preserve">               (c)  Difference excess over 10 % of pay</t>
  </si>
  <si>
    <t xml:space="preserve">               (d)  Actual H.R.A. received</t>
  </si>
  <si>
    <t xml:space="preserve">               (e)  50 % of salary [Pay + D.A.] for the Chennai City and  40 % of salary [Pay + D.A.] for other places</t>
  </si>
  <si>
    <t xml:space="preserve">           H.R.A. exempted : (c) or (d) or (e) whichever is less</t>
  </si>
  <si>
    <r>
      <t>3.</t>
    </r>
    <r>
      <rPr>
        <sz val="10"/>
        <rFont val="Arial"/>
        <family val="2"/>
      </rPr>
      <t xml:space="preserve">  </t>
    </r>
    <r>
      <rPr>
        <b/>
        <sz val="10"/>
        <rFont val="Arial"/>
        <family val="2"/>
      </rPr>
      <t xml:space="preserve">Gross Salary Income </t>
    </r>
    <r>
      <rPr>
        <sz val="10"/>
        <rFont val="Arial"/>
        <family val="2"/>
      </rPr>
      <t xml:space="preserve">  [1 – (2+2.1)]</t>
    </r>
  </si>
  <si>
    <t>4.  Less : Standard Deducation u/s 16 (A) (Subject to maximum of Rs. 50,000)</t>
  </si>
  <si>
    <r>
      <t>5.</t>
    </r>
    <r>
      <rPr>
        <sz val="10"/>
        <rFont val="Arial"/>
        <family val="2"/>
      </rPr>
      <t xml:space="preserve">  Tax on Employment (Professional Tax) Sec 16 (3) b</t>
    </r>
  </si>
  <si>
    <r>
      <t>6.</t>
    </r>
    <r>
      <rPr>
        <sz val="10"/>
        <rFont val="Arial"/>
        <family val="2"/>
      </rPr>
      <t xml:space="preserve">  Taxable Salary Income (3 - 4 - 5)</t>
    </r>
  </si>
  <si>
    <r>
      <t>7.</t>
    </r>
    <r>
      <rPr>
        <sz val="10"/>
        <rFont val="Arial"/>
        <family val="2"/>
      </rPr>
      <t xml:space="preserve">  Interest payable on housing loan under section 24  (on after 01.04.1999 up to Rs. 2,00,000) [Prior to 01.04.1999 up to Rs. 30,000]</t>
    </r>
  </si>
  <si>
    <r>
      <t>8.</t>
    </r>
    <r>
      <rPr>
        <sz val="10"/>
        <rFont val="Arial"/>
        <family val="2"/>
      </rPr>
      <t xml:space="preserve">  </t>
    </r>
    <r>
      <rPr>
        <b/>
        <sz val="10"/>
        <rFont val="Arial"/>
        <family val="2"/>
      </rPr>
      <t>Total Income</t>
    </r>
    <r>
      <rPr>
        <sz val="10"/>
        <rFont val="Arial"/>
        <family val="2"/>
      </rPr>
      <t xml:space="preserve"> (6 - 7)</t>
    </r>
  </si>
  <si>
    <r>
      <t>9.</t>
    </r>
    <r>
      <rPr>
        <sz val="10"/>
        <rFont val="Arial"/>
        <family val="2"/>
      </rPr>
      <t xml:space="preserve">  Any other Income</t>
    </r>
  </si>
  <si>
    <r>
      <t>10.</t>
    </r>
    <r>
      <rPr>
        <sz val="10"/>
        <rFont val="Arial"/>
        <family val="2"/>
      </rPr>
      <t xml:space="preserve">  </t>
    </r>
    <r>
      <rPr>
        <b/>
        <sz val="10"/>
        <rFont val="Arial"/>
        <family val="2"/>
      </rPr>
      <t>Gross Total Income</t>
    </r>
    <r>
      <rPr>
        <sz val="10"/>
        <rFont val="Arial"/>
        <family val="2"/>
      </rPr>
      <t xml:space="preserve"> (8 + 9)</t>
    </r>
  </si>
  <si>
    <r>
      <t>11.</t>
    </r>
    <r>
      <rPr>
        <sz val="10"/>
        <rFont val="Arial"/>
        <family val="2"/>
      </rPr>
      <t xml:space="preserve">  </t>
    </r>
    <r>
      <rPr>
        <b/>
        <sz val="10"/>
        <rFont val="Arial"/>
        <family val="2"/>
      </rPr>
      <t>Deductions Under Chapter VI A</t>
    </r>
    <r>
      <rPr>
        <sz val="10"/>
        <rFont val="Arial"/>
        <family val="2"/>
      </rPr>
      <t xml:space="preserve"> :</t>
    </r>
  </si>
  <si>
    <t xml:space="preserve">      i). Saving under section 80 C</t>
  </si>
  <si>
    <t xml:space="preserve">            a.  GPF subscription / CPS (Contributory Pension Scheme)</t>
  </si>
  <si>
    <t xml:space="preserve">            b.  FBF + SPF</t>
  </si>
  <si>
    <t xml:space="preserve">            c.  NSC / NSC accrued interest</t>
  </si>
  <si>
    <t xml:space="preserve">            d.  PLI</t>
  </si>
  <si>
    <t xml:space="preserve">            e.  PPF</t>
  </si>
  <si>
    <t xml:space="preserve">            f.  LIC Premium + ULIP</t>
  </si>
  <si>
    <t xml:space="preserve">            g.  Repayment of house building advance (Max. Rs. 1,00,000 – Principal)</t>
  </si>
  <si>
    <t xml:space="preserve">            h.  Tuition free towards children Education subject to maximum of two children</t>
  </si>
  <si>
    <t xml:space="preserve">            i.   Any other Investments (Infra structure bond – 80 CCF)</t>
  </si>
  <si>
    <t xml:space="preserve">     ii).  U/s 80 CCC Contribution to Pension Fund subject to a Max. of Rs.1,50,000</t>
  </si>
  <si>
    <r>
      <t xml:space="preserve">     iii). U/s 80 CCD </t>
    </r>
    <r>
      <rPr>
        <sz val="9"/>
        <rFont val="Arial"/>
        <family val="2"/>
      </rPr>
      <t>Contribution to Pension Scheme of Central Government</t>
    </r>
  </si>
  <si>
    <r>
      <t>12</t>
    </r>
    <r>
      <rPr>
        <sz val="9"/>
        <rFont val="Arial"/>
        <family val="2"/>
      </rPr>
      <t xml:space="preserve">. </t>
    </r>
    <r>
      <rPr>
        <b/>
        <sz val="9"/>
        <rFont val="Arial"/>
        <family val="2"/>
      </rPr>
      <t>a)</t>
    </r>
    <r>
      <rPr>
        <sz val="9"/>
        <rFont val="Arial"/>
        <family val="2"/>
      </rPr>
      <t xml:space="preserve"> </t>
    </r>
    <r>
      <rPr>
        <b/>
        <sz val="9"/>
        <rFont val="Arial"/>
        <family val="2"/>
      </rPr>
      <t>Total deduction under section 80 CCE</t>
    </r>
    <r>
      <rPr>
        <sz val="9"/>
        <rFont val="Arial"/>
        <family val="2"/>
      </rPr>
      <t xml:space="preserve"> (80 C + 80 CCC + 80 CCD) </t>
    </r>
  </si>
  <si>
    <r>
      <t xml:space="preserve">      b)</t>
    </r>
    <r>
      <rPr>
        <sz val="9"/>
        <rFont val="Arial"/>
        <family val="2"/>
      </rPr>
      <t xml:space="preserve"> </t>
    </r>
    <r>
      <rPr>
        <b/>
        <sz val="9"/>
        <rFont val="Arial"/>
        <family val="2"/>
      </rPr>
      <t>Subject to overall limit of Rs. 1,50,000</t>
    </r>
  </si>
  <si>
    <t xml:space="preserve">      c) Additional Deduction U/s. 80CCD (1B) for NPS/CPS Rs. 50,000</t>
  </si>
  <si>
    <r>
      <t>13</t>
    </r>
    <r>
      <rPr>
        <sz val="10"/>
        <rFont val="Arial"/>
        <family val="2"/>
      </rPr>
      <t>.   a).  80 D Medical Insurance Premium Paid (Max. Rs. 25,000) [a further deduction of Rs. 25,000 on Medical Insurance Premium Paid of the parents of the Tax Payer]</t>
    </r>
  </si>
  <si>
    <t xml:space="preserve">        b). 80 DD Medical treatment for Handicapped Dependant (Max. Rs. 75,000)  (incase of severe disabilities Rs. 1,25,000)        </t>
  </si>
  <si>
    <t xml:space="preserve">        c). 80 G Donations (Max. Rs. 10,000)</t>
  </si>
  <si>
    <t xml:space="preserve">        d). 80 U Deductions in respect of totally blind or mentally retarded (Max. Rs. 75,000) (incase of severe disabilities Rs. 1,25,000)</t>
  </si>
  <si>
    <t xml:space="preserve">        e).  80 E Interest towards Education Loan – Higher studies</t>
  </si>
  <si>
    <r>
      <t>14.</t>
    </r>
    <r>
      <rPr>
        <sz val="10"/>
        <rFont val="Arial"/>
        <family val="2"/>
      </rPr>
      <t xml:space="preserve">  Total deductions eligible under Chapter VI A  (12 + 13)</t>
    </r>
  </si>
  <si>
    <r>
      <t>15.</t>
    </r>
    <r>
      <rPr>
        <sz val="10"/>
        <rFont val="Arial"/>
        <family val="2"/>
      </rPr>
      <t xml:space="preserve">  </t>
    </r>
    <r>
      <rPr>
        <b/>
        <sz val="10"/>
        <rFont val="Arial"/>
        <family val="2"/>
      </rPr>
      <t>a)</t>
    </r>
    <r>
      <rPr>
        <sz val="10"/>
        <rFont val="Arial"/>
        <family val="2"/>
      </rPr>
      <t xml:space="preserve">  </t>
    </r>
    <r>
      <rPr>
        <b/>
        <sz val="10"/>
        <rFont val="Arial"/>
        <family val="2"/>
      </rPr>
      <t>Total Taxable Income</t>
    </r>
    <r>
      <rPr>
        <sz val="10"/>
        <rFont val="Arial"/>
        <family val="2"/>
      </rPr>
      <t xml:space="preserve"> (10 – 14)</t>
    </r>
  </si>
  <si>
    <r>
      <t xml:space="preserve">       </t>
    </r>
    <r>
      <rPr>
        <b/>
        <sz val="10"/>
        <rFont val="Arial"/>
        <family val="2"/>
      </rPr>
      <t>b</t>
    </r>
    <r>
      <rPr>
        <sz val="10"/>
        <rFont val="Arial"/>
        <family val="2"/>
      </rPr>
      <t xml:space="preserve">)  </t>
    </r>
    <r>
      <rPr>
        <b/>
        <sz val="10"/>
        <rFont val="Arial"/>
        <family val="2"/>
      </rPr>
      <t>Rounded off to the nearest Ten rupees</t>
    </r>
  </si>
  <si>
    <t xml:space="preserve"> -2-</t>
  </si>
  <si>
    <r>
      <t>16.</t>
    </r>
    <r>
      <rPr>
        <sz val="10"/>
        <rFont val="Arial"/>
        <family val="2"/>
      </rPr>
      <t xml:space="preserve">  TAX ON TOTAL INCOME</t>
    </r>
  </si>
  <si>
    <r>
      <t>17.</t>
    </r>
    <r>
      <rPr>
        <sz val="10"/>
        <rFont val="Arial"/>
        <family val="2"/>
      </rPr>
      <t xml:space="preserve">  </t>
    </r>
    <r>
      <rPr>
        <b/>
        <sz val="10"/>
        <rFont val="Arial"/>
        <family val="2"/>
      </rPr>
      <t>TAX PAYABLE</t>
    </r>
  </si>
  <si>
    <r>
      <t>18.</t>
    </r>
    <r>
      <rPr>
        <sz val="10"/>
        <rFont val="Arial"/>
        <family val="2"/>
      </rPr>
      <t xml:space="preserve">  Less : Rebate u/s. 87A - Rs. 12,500 or the amount of tax payable, whichever is lower (Incase of the taxable income does not exceed Rs. 5,00,000)</t>
    </r>
  </si>
  <si>
    <r>
      <t>19.</t>
    </r>
    <r>
      <rPr>
        <sz val="10"/>
        <rFont val="Arial"/>
        <family val="2"/>
      </rPr>
      <t xml:space="preserve">  Net Tax Payable (17 -18)</t>
    </r>
  </si>
  <si>
    <r>
      <t>20.</t>
    </r>
    <r>
      <rPr>
        <sz val="10"/>
        <rFont val="Arial"/>
        <family val="2"/>
      </rPr>
      <t xml:space="preserve"> Health and  Educational Cess Tax @ 4 %</t>
    </r>
  </si>
  <si>
    <r>
      <t>21.</t>
    </r>
    <r>
      <rPr>
        <sz val="10"/>
        <rFont val="Arial"/>
        <family val="2"/>
      </rPr>
      <t xml:space="preserve">  </t>
    </r>
    <r>
      <rPr>
        <b/>
        <sz val="10"/>
        <rFont val="Arial"/>
        <family val="2"/>
      </rPr>
      <t>TOTAL TAX PAYABLE</t>
    </r>
    <r>
      <rPr>
        <sz val="10"/>
        <rFont val="Arial"/>
        <family val="2"/>
      </rPr>
      <t xml:space="preserve"> (19 + 20)</t>
    </r>
  </si>
  <si>
    <t>23.  Income Tax remitted by Challan</t>
  </si>
  <si>
    <r>
      <t xml:space="preserve">                iii.  Certified that I am paying sum of    Rs.  </t>
    </r>
    <r>
      <rPr>
        <b/>
        <sz val="11"/>
        <rFont val="Arial"/>
        <family val="2"/>
      </rPr>
      <t xml:space="preserve">                      </t>
    </r>
    <r>
      <rPr>
        <sz val="11"/>
        <rFont val="Arial"/>
        <family val="2"/>
      </rPr>
      <t xml:space="preserve"> towards LIC premium and the policies are kept and the policies are kept alive.</t>
    </r>
  </si>
  <si>
    <r>
      <t xml:space="preserve">                iv.  Certified that a sum of Rs. </t>
    </r>
    <r>
      <rPr>
        <b/>
        <sz val="11"/>
        <rFont val="Arial"/>
        <family val="2"/>
      </rPr>
      <t xml:space="preserve">                           </t>
    </r>
    <r>
      <rPr>
        <sz val="11"/>
        <rFont val="Arial"/>
        <family val="2"/>
      </rPr>
      <t xml:space="preserve"> is being paid by me towards a CTD and the cumulative time is for 10 / 15 years.</t>
    </r>
  </si>
  <si>
    <r>
      <t xml:space="preserve">                v.  I                                  Son of</t>
    </r>
    <r>
      <rPr>
        <b/>
        <sz val="11"/>
        <rFont val="Arial"/>
        <family val="2"/>
      </rPr>
      <t xml:space="preserve">                                </t>
    </r>
    <r>
      <rPr>
        <sz val="11"/>
        <rFont val="Arial"/>
        <family val="2"/>
      </rPr>
      <t xml:space="preserve">Working in the capacity of                                                        in                                                 </t>
    </r>
    <r>
      <rPr>
        <b/>
        <sz val="11"/>
        <rFont val="Arial"/>
        <family val="2"/>
      </rPr>
      <t xml:space="preserve"> </t>
    </r>
    <r>
      <rPr>
        <sz val="11"/>
        <rFont val="Arial"/>
        <family val="2"/>
      </rPr>
      <t xml:space="preserve">do here by certify that a sum of                 </t>
    </r>
    <r>
      <rPr>
        <b/>
        <sz val="11"/>
        <rFont val="Arial"/>
        <family val="2"/>
      </rPr>
      <t xml:space="preserve"> </t>
    </r>
    <r>
      <rPr>
        <sz val="11"/>
        <rFont val="Arial"/>
        <family val="2"/>
      </rPr>
      <t xml:space="preserve">(Rupees.                                                                 only) has been deducted at source and paid to the credit of the Central Government.                                                                   </t>
    </r>
  </si>
  <si>
    <t xml:space="preserve">                 vi.  I further certify the information given above is true and correct based on the Books of Account Documents and other available records.</t>
  </si>
  <si>
    <t xml:space="preserve"> -3-</t>
  </si>
  <si>
    <t>Name of the Depositor:</t>
  </si>
  <si>
    <t>Policy Number</t>
  </si>
  <si>
    <t>Name of the insured</t>
  </si>
  <si>
    <t>Nature of Policy</t>
  </si>
  <si>
    <t>Sum assured</t>
  </si>
  <si>
    <t>Amount of premium</t>
  </si>
  <si>
    <t>Particulars of PLI Premium</t>
  </si>
  <si>
    <t xml:space="preserve">Name of the Depositor:  </t>
  </si>
  <si>
    <t>Policy number</t>
  </si>
  <si>
    <t>Nature of policy</t>
  </si>
  <si>
    <t>Sum Assured</t>
  </si>
  <si>
    <t xml:space="preserve">(P. a.)  Rs. </t>
  </si>
  <si>
    <t xml:space="preserve">     </t>
  </si>
  <si>
    <t xml:space="preserve">TOTAL        </t>
  </si>
  <si>
    <t>Particulars of NSC</t>
  </si>
  <si>
    <t>Name of the Depositor :</t>
  </si>
  <si>
    <t>Post office</t>
  </si>
  <si>
    <t>Issue Number</t>
  </si>
  <si>
    <t>Date</t>
  </si>
  <si>
    <t>NSC Number</t>
  </si>
  <si>
    <t>Amount</t>
  </si>
  <si>
    <t xml:space="preserve">TOTAL  </t>
  </si>
  <si>
    <t>Nature of Investment</t>
  </si>
  <si>
    <t>Date of Investment</t>
  </si>
  <si>
    <t>Date of Maturity</t>
  </si>
  <si>
    <t>Remarks</t>
  </si>
  <si>
    <t>:</t>
  </si>
  <si>
    <t>Personal Details</t>
  </si>
  <si>
    <t>CPS</t>
  </si>
  <si>
    <t>27.  Income Tax Refund</t>
  </si>
  <si>
    <r>
      <t>28.</t>
    </r>
    <r>
      <rPr>
        <sz val="11"/>
        <rFont val="Arial"/>
        <family val="2"/>
      </rPr>
      <t xml:space="preserve">                                                     </t>
    </r>
    <r>
      <rPr>
        <b/>
        <sz val="11"/>
        <rFont val="Arial"/>
        <family val="2"/>
      </rPr>
      <t>CERTIFICATE</t>
    </r>
  </si>
  <si>
    <r>
      <t xml:space="preserve">                i.   Certified that I am occupying house allotted by the Accommodation Controller PWD / TNHB on payment of rent of Rs. </t>
    </r>
    <r>
      <rPr>
        <b/>
        <sz val="11"/>
        <color theme="1"/>
        <rFont val="Arial"/>
        <family val="2"/>
      </rPr>
      <t xml:space="preserve">                          </t>
    </r>
    <r>
      <rPr>
        <sz val="11"/>
        <color theme="1"/>
        <rFont val="Arial"/>
        <family val="2"/>
      </rPr>
      <t xml:space="preserve">p.m.               </t>
    </r>
  </si>
  <si>
    <t>COVID-19 CMRF Deduction</t>
  </si>
  <si>
    <t>If Yes, Specify the month</t>
  </si>
  <si>
    <t>Signature of Staff</t>
  </si>
  <si>
    <t>Verifiedy by</t>
  </si>
  <si>
    <t>Principal/Bursar</t>
  </si>
  <si>
    <t xml:space="preserve">Date: </t>
  </si>
  <si>
    <t>CA if any</t>
  </si>
  <si>
    <t>CCA</t>
  </si>
  <si>
    <t>MA</t>
  </si>
  <si>
    <t>COVID-19 80G Donation</t>
  </si>
  <si>
    <t>Select from Dropdown list</t>
  </si>
  <si>
    <t>Enter Manually</t>
  </si>
  <si>
    <t>Tax Regime option</t>
  </si>
  <si>
    <t>Old</t>
  </si>
  <si>
    <t xml:space="preserve">Place: </t>
  </si>
  <si>
    <t>Station   :                                                                                                 Signature          :</t>
  </si>
  <si>
    <t>Station   :                                                                 Signature         :</t>
  </si>
  <si>
    <t>Basic Pay on March 2021</t>
  </si>
  <si>
    <t>PAY DRAWN PARTICULARS FOR THE YEAR  2021 - 2022, ASSESSMENT YEAR 2022 - 2023</t>
  </si>
  <si>
    <t>INCOME-TAX CALCULATION STATEMENT FOR THE FINANCIAL YEAR  2021 - 2022,  ASSESSMENT YEAR  2022 - 2023</t>
  </si>
  <si>
    <r>
      <t>22.</t>
    </r>
    <r>
      <rPr>
        <sz val="10"/>
        <rFont val="Arial"/>
        <family val="2"/>
      </rPr>
      <t xml:space="preserve">  Tax deducted from salary So far (From March 2021 to January 2022) by TDS                      </t>
    </r>
  </si>
  <si>
    <t>24. Total Taxes to be paid from February 2022 salary</t>
  </si>
  <si>
    <r>
      <t>25.</t>
    </r>
    <r>
      <rPr>
        <sz val="10"/>
        <rFont val="Arial"/>
        <family val="2"/>
      </rPr>
      <t xml:space="preserve">  </t>
    </r>
    <r>
      <rPr>
        <b/>
        <sz val="10"/>
        <rFont val="Arial"/>
        <family val="2"/>
      </rPr>
      <t>Balance of Income Tax to be deducted from February 2022 Salary</t>
    </r>
  </si>
  <si>
    <r>
      <t>26.</t>
    </r>
    <r>
      <rPr>
        <sz val="10"/>
        <rFont val="Arial"/>
        <family val="2"/>
      </rPr>
      <t xml:space="preserve">  </t>
    </r>
    <r>
      <rPr>
        <b/>
        <sz val="10"/>
        <rFont val="Arial"/>
        <family val="2"/>
      </rPr>
      <t>Balance of IT Cess to be deducted from February 2022 Salary</t>
    </r>
  </si>
  <si>
    <t>Particulars of deposit towards Pension Fund (Jeevan Suraksha) during 2021 - 2022</t>
  </si>
  <si>
    <t>Details of other Eligible Investments Made During 2021 – 2022</t>
  </si>
  <si>
    <t>TNGCTA_IT CALCULATOR_FY_2021-22</t>
  </si>
  <si>
    <t>Strike Days Refund</t>
  </si>
  <si>
    <t>Strike Days Refund (Enter Value in Rs., Including CPS deducted)</t>
  </si>
  <si>
    <t>Working City of Assessee</t>
  </si>
  <si>
    <t>Others</t>
  </si>
  <si>
    <t>Pongal Exgratia</t>
  </si>
  <si>
    <t>Presidency College (Autonomous) Chennai - 600005</t>
  </si>
  <si>
    <t>Queen Mary's College (Autonomous), Dr.Radhakrishnan Salai, Mylapore, Chennai - 600 004.</t>
  </si>
  <si>
    <t>Bharathi Womens College (Autonomous), No.1 Prakasam Salai, Chennai - 600108</t>
  </si>
  <si>
    <t>Government Arts College for Men (Autonomous), Nandanam, Chennai - 600035</t>
  </si>
  <si>
    <t>Dr.Ambedkar Government Arts College (Autonomous), Vyasarpadi, Chennai - 600039</t>
  </si>
  <si>
    <t>Quaid-E-Millath Government College for Women (Autonomous), Anna Salai, Chennai - 600002</t>
  </si>
  <si>
    <t>Government Arts and Science College, RK Nagar, Chennai - 600081</t>
  </si>
  <si>
    <t>Government Arts and Science College, Perumbakkam,  Chennai - 600131</t>
  </si>
  <si>
    <t>Government College of Arts and Sciences, Nemmeli, Chengalpattu District.</t>
  </si>
  <si>
    <t>Institute of Advanced Study in Education, Saidapet, Chennai - 600015.</t>
  </si>
  <si>
    <t>Government Arts College, Coimbatore(Autonomous) - 641018</t>
  </si>
  <si>
    <t>Government Arts College, Udhagamandalam - 643 002</t>
  </si>
  <si>
    <t>Chikkanna Government Arts College, Tiruppur - 641602</t>
  </si>
  <si>
    <t>LRG Government Arts College for Women, Tiruppur - 641604</t>
  </si>
  <si>
    <t>Government Arts College, Udumalpet - 642126</t>
  </si>
  <si>
    <t>Government Arts and Science College, Kangeyam - 638108</t>
  </si>
  <si>
    <t>Government Arts and Science College, Mettupalayam - 641104</t>
  </si>
  <si>
    <t>Government Arts and Science College, Sathyamangalam -  638401</t>
  </si>
  <si>
    <t>Government Arts and Science College, Avinashi - 641654</t>
  </si>
  <si>
    <t>Government Arts and Science College, Palladam - 641664</t>
  </si>
  <si>
    <t>Government Arts and Science College, Thittamalai - 638458</t>
  </si>
  <si>
    <t>Government Arts and Science College, Gudalur - 643213</t>
  </si>
  <si>
    <t>Government Arts and Science College, Valparai - 642127</t>
  </si>
  <si>
    <t>Government College of Arts and Sciences, Modakkurichi, Erode District.</t>
  </si>
  <si>
    <t>Government College of Arts and Sciences, Pollachi, Coimbatore District.</t>
  </si>
  <si>
    <t>Government College of Arts and Sciences, Thondamuthur, Coimbatore District.</t>
  </si>
  <si>
    <t>Government Women's College of Arts and Science in Puliyakulam, Coimbatore District</t>
  </si>
  <si>
    <t>Government College of Education for Women,Coimbatore – 641001</t>
  </si>
  <si>
    <t>Sri Meenakshi Government Arts College for Women(Autonomous) - 625002</t>
  </si>
  <si>
    <t>Sethupathy Govternment Arts College Ramanathapuram- 632502</t>
  </si>
  <si>
    <t>M.V.Muthiah Government Arts College for Women Dindigul- 624001</t>
  </si>
  <si>
    <t>Government Arts College Melur- 625106</t>
  </si>
  <si>
    <t>V. S. Sivalingam Government Arts College, Pulankurichi - 630413</t>
  </si>
  <si>
    <t>Raja Doraisingam Government Arts College Sivagangai- 630651</t>
  </si>
  <si>
    <t>Alagappa Government Arts College Karaikudi- 630003</t>
  </si>
  <si>
    <t>Government Arts College for Women Ramanathapuram- 623501</t>
  </si>
  <si>
    <t>Government Arts College Paramakudi- 623707</t>
  </si>
  <si>
    <t>Government Arts College for Women, Nilakottai - 624208</t>
  </si>
  <si>
    <t>Government Arts College for Women, Sivagangai- 630562</t>
  </si>
  <si>
    <t>Government Arts and Science College, Kadaladi - 62370313.</t>
  </si>
  <si>
    <t>Government Arts and Science College, Mudhukulathur</t>
  </si>
  <si>
    <t>Government Arts and Science College, ESI Hospital, Anaiyur Panchayat, Sivakasi - 626124</t>
  </si>
  <si>
    <t>Government Arts and Science College, Thiruvadanai - 623407</t>
  </si>
  <si>
    <t>Government Arts and Science College, Veerapandi -625534</t>
  </si>
  <si>
    <t>Dr. APJ.Abdul Kalam Government Arts and Science College, Rameswaram</t>
  </si>
  <si>
    <t>Government Arts and Science College Aundipatti- 625512</t>
  </si>
  <si>
    <t>Government Arts and Science College for Women, Kodaikanal</t>
  </si>
  <si>
    <t>Government Arts and Science College, Kottur - 625534</t>
  </si>
  <si>
    <t>Government College of Arts and Sciences, Sattur, Virudhunagar District.</t>
  </si>
  <si>
    <t>Government College of Arts and Sciences, Vedasandur, Dindigul District.</t>
  </si>
  <si>
    <t>Government College of Arts and Sciences, Thirumangalam, Madurai District.</t>
  </si>
  <si>
    <t>Government College of Arts and Sciences, Paramakudi, Ramanathapuram District.</t>
  </si>
  <si>
    <t>Government College of Arts and Sciences, Aruppukottai, Virudhunagar District.</t>
  </si>
  <si>
    <t>Government College of Arts and Sciences, Srivilliputhur, Virudhunagar District</t>
  </si>
  <si>
    <t>H.H. The Rajah's College (Autonomous), Pudukkottai - 622001</t>
  </si>
  <si>
    <t>Periyar EVR College (Autonomous), Tiruchirapalli- 620023</t>
  </si>
  <si>
    <t>Government Arts College, Thanthonaimalai (Autonomous), Karur - 639005</t>
  </si>
  <si>
    <t>Arignar Anna  Government Arts College, Musiri- 621201</t>
  </si>
  <si>
    <t>Government Arts College for Women (Autonomous), Pudukkottai- 622001</t>
  </si>
  <si>
    <t>Government Arts College, Tiruverumbur, Trichy - 620022</t>
  </si>
  <si>
    <t>Government Arts College, Kulithalai-639120</t>
  </si>
  <si>
    <t>Government Arts and Science College, Karambakudi - 622302</t>
  </si>
  <si>
    <t>Government Arts and Science College, Veppanthattai- 621116</t>
  </si>
  <si>
    <t>Government Arts and Science College,Kumulur, Lalgudi -    621 712</t>
  </si>
  <si>
    <t>Government Arts and Science College, Perambalur - 621107</t>
  </si>
  <si>
    <t>Government Arts and Science College, Aranthangi - 614616</t>
  </si>
  <si>
    <t>Government College of Arts and Sciences, Srirangam, Trichy District.</t>
  </si>
  <si>
    <t>Government College of Arts and Sciences, Veppur, Perambalur District.</t>
  </si>
  <si>
    <t>Government College of Arts and Sciences, Tharagampatti, Karur District</t>
  </si>
  <si>
    <t>Government College of Education, Pudukottai – 622001</t>
  </si>
  <si>
    <t>Rani Anna Govt College for Women, Tirunelveli – 627008</t>
  </si>
  <si>
    <t>Kamarajar Govt Arts College, Surandai- 627859</t>
  </si>
  <si>
    <t>Government Arts and Science college, Krishna Nagar, Kovilpatti - 628503</t>
  </si>
  <si>
    <t>Government Arts and Science College, Nagercoil - 629004</t>
  </si>
  <si>
    <t>Government Arts and Science College (Women), Sathankulam - 628704</t>
  </si>
  <si>
    <t>Government Arts and Science College, Sankarankovil</t>
  </si>
  <si>
    <t>Government Arts and Science College for Women, Alangulam</t>
  </si>
  <si>
    <t>Government College of Arts and Sciences, Nagalapuram, Thoothukudi District.</t>
  </si>
  <si>
    <t>Government College of Arts and Sciences, Kanyakumari, Kanyakumari District.</t>
  </si>
  <si>
    <t>Government College of Arts and Sciences, Kadayanallur, Tenkasi District.</t>
  </si>
  <si>
    <t>Government Arts College (Autonomous), Salem - 636007</t>
  </si>
  <si>
    <t>Government Arts College for Men,  Krishnagiri - 635001</t>
  </si>
  <si>
    <t>Government Arts College, Dharmapuri - 636705</t>
  </si>
  <si>
    <t>Arignar Anna Government Arts College, Namakkal-637002</t>
  </si>
  <si>
    <t>Thiruvalluvar Government Arts College, Rasipuram- 637401</t>
  </si>
  <si>
    <t>Namakkal Kavignar Ramalingam Government Arts College for Women, Namakkal - 637001</t>
  </si>
  <si>
    <t>Arignar Anna Government Arts College,  Attur - 636121</t>
  </si>
  <si>
    <t>Government Arts College for Women, Salem - 636008</t>
  </si>
  <si>
    <t>Government Arts and Science College for Women, Barugur - 635104</t>
  </si>
  <si>
    <t>Government Arts College for Women, Krishnagiri - 635002</t>
  </si>
  <si>
    <t>Government Arts and Science College, Hosur - 636110</t>
  </si>
  <si>
    <t>Government Arts and Science College for Women, Karimangalam - 635111</t>
  </si>
  <si>
    <t>Government Arts and Science College, Komarapalayam - 638183</t>
  </si>
  <si>
    <t>Bharat Ratna Puratchi Thalaivar Dr M.G.R. Govt Arts &amp; Science College, Palacode - 636808</t>
  </si>
  <si>
    <t>Government Arts and Science College, Mettur - 636401</t>
  </si>
  <si>
    <t>Government Arts and Science College, Pennagaram - 636803</t>
  </si>
  <si>
    <t>Government College of Arts and Sciences, Arur, Dharmapuri District.</t>
  </si>
  <si>
    <t>Government College of Arts and Sciences, Papirettipatti, Dharmapuri District.</t>
  </si>
  <si>
    <t>Government College of Arts and Sciences, Edappadi, Salem District.</t>
  </si>
  <si>
    <t>Government College of Arts and Sciences, Chennamangalam, Namakkal District.</t>
  </si>
  <si>
    <t>Government College of Education, Komarapalayam, Namakkal – 638183</t>
  </si>
  <si>
    <t>Periyar Arts College, Cuddalore</t>
  </si>
  <si>
    <t>Government Thirumagal Mills College, Gudiyatham - 632 602</t>
  </si>
  <si>
    <t>Loganatha Narayanaswamy Government Arts College (Autonomous), Ponneri-601204</t>
  </si>
  <si>
    <t>Muthurangam Government Arts College (Autonomous), Vellore - 632 002</t>
  </si>
  <si>
    <t>Government Arts College, Tiruvannamalai - 606 603.</t>
  </si>
  <si>
    <t>Thiru Kolanjiappar Government Arts College, Virudhachalam - 606001</t>
  </si>
  <si>
    <t>Arignar Anna Government Arts College, Cheyyar-604 407</t>
  </si>
  <si>
    <t>Arignar Anna Government Arts College, Villupuram-605 602</t>
  </si>
  <si>
    <t>Arignar Anna Government Arts College for Women, Walajapet - 632513</t>
  </si>
  <si>
    <t>Thiru. A. Govindasamy Government Arts College, Tindivanam- 604 307</t>
  </si>
  <si>
    <t>Rajeswari Vedachalam Government Arts College, Chengalpattu- 603 001</t>
  </si>
  <si>
    <t>Sri Subramanyaswamy Government Arts College, Tiruttani-631 209</t>
  </si>
  <si>
    <t>Government Arts College, Chidambaram - 608102</t>
  </si>
  <si>
    <t>Puratchi Thalaivar Dr. M.G.R Government Arts and Science College, Uthiramerur - 603406</t>
  </si>
  <si>
    <t>Manbumigu Dr. Puratchi Thalaivar M.G.R Government Arts and Science College, Kattumannar Koil -608301</t>
  </si>
  <si>
    <t>Puratchithalaivar Dr. M.G.R. Government Arts and Science College, Madhanur -635804</t>
  </si>
  <si>
    <t>Dr.M.G.R. Government Arts and Science College for Women, Villupuram-605401</t>
  </si>
  <si>
    <t>Government Arts and Science College, Thennangur - Vandavasi - 604408</t>
  </si>
  <si>
    <t>Government Arts and Science College, Thiruvennainallur - 607 203</t>
  </si>
  <si>
    <t>Government Arts and Science College, Rishivandiyam - 605801</t>
  </si>
  <si>
    <t>Government College of Arts and Sciences, Kallakurichi, Kallakurichi District.</t>
  </si>
  <si>
    <t>Government College of Arts and Sciences,Thirupathur,Thirupathur District.</t>
  </si>
  <si>
    <t>Government College of Arts and Sciences, Tiruvottiyur, Tiruvallur District.</t>
  </si>
  <si>
    <t>Government College of Arts and Sciences, Arakkonam, Ranipettai District.</t>
  </si>
  <si>
    <t>Government College of Arts and Sciences, Tittakkudi, Cuddalore District.</t>
  </si>
  <si>
    <t>Government College of Arts and Sciences, Vanur (Tiruchirappalli Road), Villupuram District</t>
  </si>
  <si>
    <t>Government College of Arts and Sciences, Jambukulam, Ranipettai District</t>
  </si>
  <si>
    <t>Government College of Education, Vellore – 632006</t>
  </si>
  <si>
    <t>Government Arts College (Autonomous), Kumbakonam- 612002</t>
  </si>
  <si>
    <t>Government College for Women(Autonomous) Kumbakonam- 612001</t>
  </si>
  <si>
    <t>Government Arts College, Ariyalur - 621713</t>
  </si>
  <si>
    <t>Rajah Serfoji Government College(Autonomous), Thanjavur - 613005</t>
  </si>
  <si>
    <t>Kunthavai Naacchiyaar Government Arts College for Women(Autonomous), Thanjavur - 613007</t>
  </si>
  <si>
    <t>Dharmapuram Gnanambigai Government Arts College for Women, Mayiladuthurai - 609001</t>
  </si>
  <si>
    <t>Thiru. Vi-Ka Government Arts College, Thiruvarur - 610003</t>
  </si>
  <si>
    <t>Manni Raja Gopala Swamy Government Arts College, Mannarkudi - 614001</t>
  </si>
  <si>
    <t>Government Arts and Science College, Peravurani - 614804</t>
  </si>
  <si>
    <t>Government Arts and Science College, Chinna Illuppapattu, manalmedu - 609202</t>
  </si>
  <si>
    <t>Dr.Puratchi Thalaivar M.G.R Government Arts and Science College, Kudavasal - 612601</t>
  </si>
  <si>
    <t>Ponmana Chemmal Puratchi Thalaivar M.G.R. Government Arts and Science College,  Seerkazhi, Puthur-609108</t>
  </si>
  <si>
    <t>Government Arts and Science College for Women,  Orathanadu - 614625</t>
  </si>
  <si>
    <t>Government College of Arts and Sciences, Vedaranyam, Nagapattinam District.</t>
  </si>
  <si>
    <t>Government College of Arts and Sciences, Thiruthuraipoondi, Thiruvarur District.</t>
  </si>
  <si>
    <t>Government College of Arts and Sciences, Nannilam, Thiruvarur District.</t>
  </si>
  <si>
    <t>Government College of Arts and Sciences, Nagapattinam, Nagapattinam District.</t>
  </si>
  <si>
    <t>Government College of Arts and Sciences, Jayangondam, Ariyalur District</t>
  </si>
  <si>
    <t>Government College of Arts and Sciences, Kuthalam, Nagapattinam District</t>
  </si>
  <si>
    <t>Government College of Education, Orathanadu, Thanjavur - 614625</t>
  </si>
  <si>
    <t>Dr. P. Rajesh</t>
  </si>
  <si>
    <t>Assistant Professor</t>
  </si>
  <si>
    <t>Computer Science</t>
  </si>
  <si>
    <t>AKXPR2768K</t>
  </si>
  <si>
    <t>CHEG02615E</t>
  </si>
  <si>
    <t>Yes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</si>
</sst>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theme="1"/>
      <name val="Calibri"/>
      <family val="2"/>
      <scheme val="minor"/>
    </font>
    <font>
      <b/>
      <sz val="10"/>
      <color indexed="10"/>
      <name val="Times New Roman"/>
      <family val="1"/>
    </font>
    <font>
      <sz val="11"/>
      <color theme="1"/>
      <name val="Baskerville Old Face"/>
      <family val="1"/>
    </font>
    <font>
      <sz val="10"/>
      <color theme="1"/>
      <name val="Baskerville Old Face"/>
      <family val="1"/>
    </font>
    <font>
      <b/>
      <sz val="10"/>
      <name val="Times New Roman"/>
      <family val="1"/>
    </font>
    <font>
      <b/>
      <sz val="8"/>
      <name val="Times New Roman"/>
      <family val="1"/>
    </font>
    <font>
      <b/>
      <sz val="9"/>
      <name val="Times New Roman"/>
      <family val="1"/>
    </font>
    <font>
      <b/>
      <sz val="6"/>
      <name val="Times New Roman"/>
      <family val="1"/>
    </font>
    <font>
      <b/>
      <sz val="11"/>
      <color theme="3" tint="-0.249977111117893"/>
      <name val="Baskerville Old Face"/>
      <family val="1"/>
    </font>
    <font>
      <b/>
      <sz val="11"/>
      <color theme="5"/>
      <name val="Baskerville Old Face"/>
      <family val="1"/>
    </font>
    <font>
      <sz val="10"/>
      <name val="Arial"/>
      <family val="2"/>
    </font>
    <font>
      <b/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b/>
      <sz val="9"/>
      <name val="Arial"/>
      <family val="2"/>
    </font>
    <font>
      <sz val="12"/>
      <name val="Times New Roman"/>
      <family val="1"/>
    </font>
    <font>
      <sz val="9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sz val="8"/>
      <name val="Times New Roman"/>
      <family val="1"/>
    </font>
    <font>
      <sz val="12"/>
      <name val="Arial"/>
      <family val="2"/>
    </font>
    <font>
      <b/>
      <sz val="10"/>
      <name val="Baskerville Old Face"/>
      <family val="1"/>
    </font>
    <font>
      <b/>
      <u/>
      <sz val="11"/>
      <color theme="1"/>
      <name val="Baskerville Old Face"/>
      <family val="1"/>
    </font>
    <font>
      <b/>
      <sz val="8.5"/>
      <name val="Times New Roman"/>
      <family val="1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Baskerville Old Face"/>
      <family val="1"/>
    </font>
  </fonts>
  <fills count="8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medium">
        <color rgb="FF808080"/>
      </right>
      <top style="medium">
        <color auto="1"/>
      </top>
      <bottom style="medium">
        <color indexed="64"/>
      </bottom>
      <diagonal/>
    </border>
    <border>
      <left style="medium">
        <color rgb="FF808080"/>
      </left>
      <right/>
      <top style="medium">
        <color auto="1"/>
      </top>
      <bottom style="medium">
        <color indexed="64"/>
      </bottom>
      <diagonal/>
    </border>
    <border>
      <left/>
      <right/>
      <top style="medium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theme="1"/>
      </right>
      <top style="medium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808080"/>
      </left>
      <right/>
      <top style="medium">
        <color rgb="FF808080"/>
      </top>
      <bottom style="medium">
        <color rgb="FF808080"/>
      </bottom>
      <diagonal/>
    </border>
    <border>
      <left/>
      <right/>
      <top style="medium">
        <color rgb="FF808080"/>
      </top>
      <bottom style="medium">
        <color rgb="FF808080"/>
      </bottom>
      <diagonal/>
    </border>
    <border>
      <left/>
      <right style="medium">
        <color rgb="FF808080"/>
      </right>
      <top style="medium">
        <color rgb="FF808080"/>
      </top>
      <bottom style="medium">
        <color rgb="FF808080"/>
      </bottom>
      <diagonal/>
    </border>
    <border>
      <left style="medium">
        <color rgb="FF808080"/>
      </left>
      <right style="medium">
        <color rgb="FF808080"/>
      </right>
      <top/>
      <bottom style="medium">
        <color rgb="FF808080"/>
      </bottom>
      <diagonal/>
    </border>
    <border>
      <left/>
      <right style="medium">
        <color rgb="FF808080"/>
      </right>
      <top/>
      <bottom style="medium">
        <color rgb="FF808080"/>
      </bottom>
      <diagonal/>
    </border>
    <border>
      <left style="medium">
        <color rgb="FF808080"/>
      </left>
      <right style="medium">
        <color rgb="FF808080"/>
      </right>
      <top/>
      <bottom/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 style="medium">
        <color rgb="FF808080"/>
      </bottom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/>
      <diagonal/>
    </border>
    <border>
      <left/>
      <right/>
      <top/>
      <bottom style="medium">
        <color rgb="FF808080"/>
      </bottom>
      <diagonal/>
    </border>
    <border>
      <left style="medium">
        <color rgb="FF808080"/>
      </left>
      <right/>
      <top/>
      <bottom style="medium">
        <color rgb="FF808080"/>
      </bottom>
      <diagonal/>
    </border>
    <border>
      <left style="medium">
        <color rgb="FF808080"/>
      </left>
      <right/>
      <top style="medium">
        <color rgb="FF808080"/>
      </top>
      <bottom/>
      <diagonal/>
    </border>
    <border>
      <left/>
      <right/>
      <top style="medium">
        <color rgb="FF808080"/>
      </top>
      <bottom/>
      <diagonal/>
    </border>
    <border>
      <left/>
      <right style="medium">
        <color rgb="FF808080"/>
      </right>
      <top style="medium">
        <color rgb="FF808080"/>
      </top>
      <bottom/>
      <diagonal/>
    </border>
    <border>
      <left style="medium">
        <color rgb="FF333333"/>
      </left>
      <right style="medium">
        <color rgb="FF333333"/>
      </right>
      <top style="medium">
        <color rgb="FF333333"/>
      </top>
      <bottom/>
      <diagonal/>
    </border>
    <border>
      <left/>
      <right style="medium">
        <color rgb="FF333333"/>
      </right>
      <top style="medium">
        <color rgb="FF333333"/>
      </top>
      <bottom/>
      <diagonal/>
    </border>
    <border>
      <left style="medium">
        <color rgb="FF333333"/>
      </left>
      <right style="medium">
        <color rgb="FF333333"/>
      </right>
      <top/>
      <bottom style="medium">
        <color rgb="FF333333"/>
      </bottom>
      <diagonal/>
    </border>
    <border>
      <left/>
      <right style="medium">
        <color rgb="FF333333"/>
      </right>
      <top/>
      <bottom style="medium">
        <color rgb="FF333333"/>
      </bottom>
      <diagonal/>
    </border>
    <border>
      <left style="medium">
        <color rgb="FF333333"/>
      </left>
      <right/>
      <top style="medium">
        <color rgb="FF333333"/>
      </top>
      <bottom style="medium">
        <color rgb="FF333333"/>
      </bottom>
      <diagonal/>
    </border>
    <border>
      <left/>
      <right/>
      <top style="medium">
        <color rgb="FF333333"/>
      </top>
      <bottom style="medium">
        <color rgb="FF333333"/>
      </bottom>
      <diagonal/>
    </border>
    <border>
      <left/>
      <right style="medium">
        <color rgb="FF333333"/>
      </right>
      <top style="medium">
        <color rgb="FF333333"/>
      </top>
      <bottom style="medium">
        <color rgb="FF33333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theme="0" tint="-0.34998626667073579"/>
      </right>
      <top/>
      <bottom/>
      <diagonal/>
    </border>
    <border>
      <left style="medium">
        <color theme="0" tint="-0.34998626667073579"/>
      </left>
      <right style="medium">
        <color theme="0" tint="-0.34998626667073579"/>
      </right>
      <top/>
      <bottom/>
      <diagonal/>
    </border>
    <border>
      <left style="medium">
        <color theme="0" tint="-0.34998626667073579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0" fillId="0" borderId="0"/>
  </cellStyleXfs>
  <cellXfs count="161">
    <xf numFmtId="0" fontId="0" fillId="0" borderId="0" xfId="0"/>
    <xf numFmtId="0" fontId="2" fillId="0" borderId="1" xfId="0" applyFont="1" applyBorder="1"/>
    <xf numFmtId="0" fontId="3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 vertical="top" wrapText="1"/>
    </xf>
    <xf numFmtId="0" fontId="2" fillId="3" borderId="1" xfId="0" applyFont="1" applyFill="1" applyBorder="1"/>
    <xf numFmtId="0" fontId="10" fillId="0" borderId="0" xfId="1"/>
    <xf numFmtId="0" fontId="1" fillId="0" borderId="11" xfId="1" applyFont="1" applyBorder="1" applyAlignment="1">
      <alignment horizontal="left" wrapText="1"/>
    </xf>
    <xf numFmtId="0" fontId="10" fillId="0" borderId="0" xfId="1" applyAlignment="1">
      <alignment vertical="center"/>
    </xf>
    <xf numFmtId="0" fontId="5" fillId="0" borderId="16" xfId="1" applyFont="1" applyBorder="1" applyAlignment="1">
      <alignment horizontal="left" vertical="center" wrapText="1"/>
    </xf>
    <xf numFmtId="0" fontId="5" fillId="0" borderId="0" xfId="1" applyFont="1" applyBorder="1" applyAlignment="1">
      <alignment horizontal="left" vertical="center" wrapText="1"/>
    </xf>
    <xf numFmtId="0" fontId="7" fillId="0" borderId="0" xfId="1" applyFont="1" applyFill="1" applyBorder="1" applyAlignment="1">
      <alignment vertical="center"/>
    </xf>
    <xf numFmtId="0" fontId="5" fillId="0" borderId="0" xfId="1" applyFont="1" applyFill="1" applyBorder="1" applyAlignment="1">
      <alignment vertical="center"/>
    </xf>
    <xf numFmtId="0" fontId="5" fillId="0" borderId="0" xfId="1" applyFont="1" applyFill="1" applyBorder="1" applyAlignment="1">
      <alignment vertical="center" wrapText="1"/>
    </xf>
    <xf numFmtId="0" fontId="6" fillId="0" borderId="0" xfId="1" applyFont="1" applyBorder="1" applyAlignment="1">
      <alignment horizontal="left"/>
    </xf>
    <xf numFmtId="0" fontId="6" fillId="0" borderId="0" xfId="1" applyFont="1" applyBorder="1" applyAlignment="1" applyProtection="1">
      <protection hidden="1"/>
    </xf>
    <xf numFmtId="0" fontId="6" fillId="0" borderId="0" xfId="1" applyFont="1" applyFill="1" applyBorder="1" applyAlignment="1" applyProtection="1">
      <protection hidden="1"/>
    </xf>
    <xf numFmtId="0" fontId="5" fillId="0" borderId="0" xfId="1" applyFont="1" applyBorder="1" applyAlignment="1" applyProtection="1">
      <protection hidden="1"/>
    </xf>
    <xf numFmtId="0" fontId="6" fillId="0" borderId="0" xfId="1" applyFont="1" applyAlignment="1">
      <alignment horizontal="left"/>
    </xf>
    <xf numFmtId="0" fontId="6" fillId="0" borderId="0" xfId="1" applyFont="1" applyAlignment="1"/>
    <xf numFmtId="0" fontId="10" fillId="0" borderId="0" xfId="1" applyAlignment="1"/>
    <xf numFmtId="0" fontId="10" fillId="0" borderId="0" xfId="1" applyAlignment="1">
      <alignment horizontal="left"/>
    </xf>
    <xf numFmtId="0" fontId="11" fillId="0" borderId="23" xfId="1" applyFont="1" applyBorder="1" applyAlignment="1">
      <alignment vertical="center" wrapText="1"/>
    </xf>
    <xf numFmtId="0" fontId="14" fillId="0" borderId="24" xfId="1" applyFont="1" applyBorder="1" applyAlignment="1">
      <alignment vertical="center" wrapText="1"/>
    </xf>
    <xf numFmtId="0" fontId="13" fillId="0" borderId="24" xfId="1" applyFont="1" applyBorder="1" applyAlignment="1">
      <alignment horizontal="right" vertical="center" wrapText="1"/>
    </xf>
    <xf numFmtId="0" fontId="10" fillId="0" borderId="23" xfId="1" applyFont="1" applyBorder="1" applyAlignment="1">
      <alignment vertical="center" wrapText="1"/>
    </xf>
    <xf numFmtId="0" fontId="15" fillId="0" borderId="24" xfId="1" applyFont="1" applyBorder="1" applyAlignment="1">
      <alignment horizontal="right" vertical="center" wrapText="1"/>
    </xf>
    <xf numFmtId="0" fontId="10" fillId="0" borderId="25" xfId="1" applyFont="1" applyBorder="1" applyAlignment="1">
      <alignment vertical="center" wrapText="1"/>
    </xf>
    <xf numFmtId="0" fontId="14" fillId="0" borderId="26" xfId="1" applyFont="1" applyBorder="1" applyAlignment="1">
      <alignment vertical="center" wrapText="1"/>
    </xf>
    <xf numFmtId="0" fontId="10" fillId="0" borderId="26" xfId="1" applyFont="1" applyBorder="1" applyAlignment="1">
      <alignment vertical="center" wrapText="1"/>
    </xf>
    <xf numFmtId="0" fontId="11" fillId="0" borderId="25" xfId="1" applyFont="1" applyBorder="1" applyAlignment="1">
      <alignment vertical="center" wrapText="1"/>
    </xf>
    <xf numFmtId="0" fontId="11" fillId="0" borderId="26" xfId="1" applyFont="1" applyBorder="1" applyAlignment="1">
      <alignment vertical="center" wrapText="1"/>
    </xf>
    <xf numFmtId="0" fontId="14" fillId="0" borderId="23" xfId="1" applyFont="1" applyBorder="1" applyAlignment="1">
      <alignment vertical="center" wrapText="1"/>
    </xf>
    <xf numFmtId="0" fontId="13" fillId="0" borderId="26" xfId="1" applyFont="1" applyBorder="1" applyAlignment="1">
      <alignment horizontal="right" vertical="center" wrapText="1"/>
    </xf>
    <xf numFmtId="0" fontId="15" fillId="0" borderId="26" xfId="1" applyFont="1" applyBorder="1" applyAlignment="1">
      <alignment horizontal="right" vertical="center" wrapText="1"/>
    </xf>
    <xf numFmtId="0" fontId="14" fillId="0" borderId="22" xfId="1" applyFont="1" applyBorder="1" applyAlignment="1">
      <alignment vertical="center" wrapText="1"/>
    </xf>
    <xf numFmtId="0" fontId="13" fillId="0" borderId="22" xfId="1" applyFont="1" applyBorder="1" applyAlignment="1">
      <alignment horizontal="right" vertical="center" wrapText="1"/>
    </xf>
    <xf numFmtId="1" fontId="13" fillId="0" borderId="24" xfId="1" applyNumberFormat="1" applyFont="1" applyBorder="1" applyAlignment="1">
      <alignment horizontal="right" vertical="center" wrapText="1"/>
    </xf>
    <xf numFmtId="0" fontId="14" fillId="0" borderId="27" xfId="1" applyFont="1" applyBorder="1" applyAlignment="1">
      <alignment vertical="center" wrapText="1"/>
    </xf>
    <xf numFmtId="0" fontId="11" fillId="0" borderId="23" xfId="1" applyFont="1" applyBorder="1" applyAlignment="1">
      <alignment wrapText="1"/>
    </xf>
    <xf numFmtId="0" fontId="11" fillId="0" borderId="0" xfId="1" applyFont="1" applyBorder="1" applyAlignment="1">
      <alignment wrapText="1"/>
    </xf>
    <xf numFmtId="0" fontId="14" fillId="0" borderId="0" xfId="1" applyFont="1" applyBorder="1" applyAlignment="1">
      <alignment wrapText="1"/>
    </xf>
    <xf numFmtId="1" fontId="4" fillId="0" borderId="0" xfId="1" applyNumberFormat="1" applyFont="1" applyBorder="1" applyAlignment="1">
      <alignment horizontal="right" wrapText="1"/>
    </xf>
    <xf numFmtId="0" fontId="10" fillId="0" borderId="28" xfId="1" applyFont="1" applyBorder="1" applyAlignment="1">
      <alignment wrapText="1"/>
    </xf>
    <xf numFmtId="0" fontId="17" fillId="0" borderId="28" xfId="1" applyFont="1" applyBorder="1" applyAlignment="1">
      <alignment wrapText="1"/>
    </xf>
    <xf numFmtId="0" fontId="14" fillId="0" borderId="28" xfId="1" applyFont="1" applyBorder="1" applyAlignment="1">
      <alignment horizontal="right" wrapText="1"/>
    </xf>
    <xf numFmtId="0" fontId="18" fillId="0" borderId="29" xfId="1" applyFont="1" applyBorder="1" applyAlignment="1">
      <alignment vertical="center" wrapText="1"/>
    </xf>
    <xf numFmtId="0" fontId="18" fillId="0" borderId="28" xfId="1" applyFont="1" applyBorder="1" applyAlignment="1">
      <alignment wrapText="1"/>
    </xf>
    <xf numFmtId="0" fontId="18" fillId="0" borderId="24" xfId="1" applyFont="1" applyBorder="1" applyAlignment="1">
      <alignment wrapText="1"/>
    </xf>
    <xf numFmtId="0" fontId="4" fillId="0" borderId="0" xfId="1" applyFont="1" applyAlignment="1">
      <alignment horizontal="left"/>
    </xf>
    <xf numFmtId="0" fontId="4" fillId="0" borderId="0" xfId="1" applyFont="1"/>
    <xf numFmtId="0" fontId="20" fillId="0" borderId="0" xfId="1" applyFont="1" applyAlignment="1">
      <alignment horizontal="left" vertical="center"/>
    </xf>
    <xf numFmtId="0" fontId="10" fillId="0" borderId="0" xfId="1" applyAlignment="1">
      <alignment horizontal="left" vertical="center"/>
    </xf>
    <xf numFmtId="0" fontId="10" fillId="0" borderId="0" xfId="1" applyAlignment="1">
      <alignment horizontal="left" vertical="top"/>
    </xf>
    <xf numFmtId="0" fontId="16" fillId="0" borderId="0" xfId="1" applyFont="1" applyAlignment="1">
      <alignment horizontal="left" vertical="center"/>
    </xf>
    <xf numFmtId="0" fontId="18" fillId="0" borderId="0" xfId="1" applyFont="1" applyAlignment="1">
      <alignment horizontal="left" vertical="center"/>
    </xf>
    <xf numFmtId="0" fontId="14" fillId="0" borderId="34" xfId="1" applyFont="1" applyBorder="1" applyAlignment="1">
      <alignment horizontal="center" vertical="center" wrapText="1"/>
    </xf>
    <xf numFmtId="0" fontId="14" fillId="0" borderId="36" xfId="1" applyFont="1" applyBorder="1" applyAlignment="1">
      <alignment horizontal="center" vertical="center" wrapText="1"/>
    </xf>
    <xf numFmtId="0" fontId="16" fillId="0" borderId="35" xfId="1" applyFont="1" applyBorder="1" applyAlignment="1">
      <alignment horizontal="left" vertical="center" wrapText="1"/>
    </xf>
    <xf numFmtId="0" fontId="16" fillId="0" borderId="36" xfId="1" applyFont="1" applyBorder="1" applyAlignment="1">
      <alignment horizontal="left" vertical="center" wrapText="1"/>
    </xf>
    <xf numFmtId="0" fontId="7" fillId="0" borderId="0" xfId="1" applyFont="1" applyAlignment="1">
      <alignment horizontal="left" vertical="center"/>
    </xf>
    <xf numFmtId="0" fontId="15" fillId="0" borderId="35" xfId="1" applyFont="1" applyBorder="1" applyAlignment="1">
      <alignment horizontal="left" vertical="center" wrapText="1"/>
    </xf>
    <xf numFmtId="0" fontId="15" fillId="0" borderId="36" xfId="1" applyFont="1" applyBorder="1" applyAlignment="1">
      <alignment horizontal="left" vertical="center" wrapText="1"/>
    </xf>
    <xf numFmtId="0" fontId="11" fillId="0" borderId="36" xfId="1" applyFont="1" applyBorder="1" applyAlignment="1">
      <alignment horizontal="left" vertical="center" wrapText="1"/>
    </xf>
    <xf numFmtId="0" fontId="21" fillId="0" borderId="0" xfId="1" applyFont="1" applyAlignment="1">
      <alignment horizontal="left" vertical="center"/>
    </xf>
    <xf numFmtId="0" fontId="17" fillId="0" borderId="0" xfId="1" applyFont="1" applyAlignment="1">
      <alignment horizontal="left" vertical="center"/>
    </xf>
    <xf numFmtId="0" fontId="20" fillId="0" borderId="35" xfId="1" applyFont="1" applyBorder="1" applyAlignment="1">
      <alignment horizontal="left" vertical="center" wrapText="1"/>
    </xf>
    <xf numFmtId="0" fontId="20" fillId="0" borderId="36" xfId="1" applyFont="1" applyBorder="1" applyAlignment="1">
      <alignment horizontal="left" vertical="center" wrapText="1"/>
    </xf>
    <xf numFmtId="0" fontId="22" fillId="0" borderId="35" xfId="1" applyFont="1" applyBorder="1" applyAlignment="1">
      <alignment horizontal="left" vertical="center" wrapText="1"/>
    </xf>
    <xf numFmtId="0" fontId="22" fillId="0" borderId="36" xfId="1" applyFont="1" applyBorder="1" applyAlignment="1">
      <alignment horizontal="left" vertical="center" wrapText="1"/>
    </xf>
    <xf numFmtId="0" fontId="10" fillId="0" borderId="0" xfId="1" applyFont="1" applyBorder="1" applyAlignment="1">
      <alignment horizontal="left" vertical="center" wrapText="1"/>
    </xf>
    <xf numFmtId="0" fontId="11" fillId="0" borderId="0" xfId="1" applyFont="1" applyBorder="1" applyAlignment="1">
      <alignment horizontal="left" vertical="center" wrapText="1"/>
    </xf>
    <xf numFmtId="0" fontId="11" fillId="0" borderId="0" xfId="1" applyFont="1" applyAlignment="1">
      <alignment horizontal="left" vertical="center"/>
    </xf>
    <xf numFmtId="0" fontId="11" fillId="0" borderId="0" xfId="1" applyFont="1" applyAlignment="1">
      <alignment horizontal="left" vertical="top"/>
    </xf>
    <xf numFmtId="0" fontId="11" fillId="0" borderId="0" xfId="1" applyFont="1" applyAlignment="1">
      <alignment vertical="center"/>
    </xf>
    <xf numFmtId="0" fontId="2" fillId="0" borderId="1" xfId="0" applyFont="1" applyBorder="1" applyAlignment="1">
      <alignment horizontal="left"/>
    </xf>
    <xf numFmtId="0" fontId="23" fillId="2" borderId="1" xfId="0" applyFont="1" applyFill="1" applyBorder="1" applyAlignment="1">
      <alignment horizontal="left" wrapText="1"/>
    </xf>
    <xf numFmtId="17" fontId="5" fillId="0" borderId="19" xfId="1" applyNumberFormat="1" applyFont="1" applyBorder="1" applyAlignment="1">
      <alignment horizontal="left" vertical="center" wrapText="1"/>
    </xf>
    <xf numFmtId="0" fontId="5" fillId="0" borderId="18" xfId="1" applyFont="1" applyBorder="1" applyAlignment="1">
      <alignment horizontal="center" vertical="center" wrapText="1"/>
    </xf>
    <xf numFmtId="0" fontId="6" fillId="0" borderId="1" xfId="1" applyFont="1" applyFill="1" applyBorder="1" applyAlignment="1">
      <alignment vertical="center" wrapText="1"/>
    </xf>
    <xf numFmtId="1" fontId="13" fillId="4" borderId="24" xfId="1" applyNumberFormat="1" applyFont="1" applyFill="1" applyBorder="1" applyAlignment="1">
      <alignment horizontal="right" vertical="center" wrapText="1"/>
    </xf>
    <xf numFmtId="1" fontId="13" fillId="5" borderId="24" xfId="1" applyNumberFormat="1" applyFont="1" applyFill="1" applyBorder="1" applyAlignment="1">
      <alignment horizontal="right" vertical="center" wrapText="1"/>
    </xf>
    <xf numFmtId="0" fontId="0" fillId="0" borderId="1" xfId="0" applyBorder="1" applyAlignment="1">
      <alignment horizontal="left"/>
    </xf>
    <xf numFmtId="0" fontId="6" fillId="0" borderId="0" xfId="1" applyFont="1" applyFill="1" applyBorder="1" applyAlignment="1">
      <alignment vertical="center" wrapText="1"/>
    </xf>
    <xf numFmtId="0" fontId="23" fillId="0" borderId="0" xfId="1" applyFont="1" applyFill="1" applyBorder="1" applyAlignment="1">
      <alignment vertical="center" wrapText="1"/>
    </xf>
    <xf numFmtId="0" fontId="10" fillId="0" borderId="0" xfId="1" applyAlignment="1">
      <alignment horizontal="right" vertical="center"/>
    </xf>
    <xf numFmtId="0" fontId="0" fillId="6" borderId="0" xfId="0" applyFill="1"/>
    <xf numFmtId="0" fontId="0" fillId="4" borderId="0" xfId="0" applyFill="1"/>
    <xf numFmtId="0" fontId="28" fillId="0" borderId="0" xfId="0" applyFont="1"/>
    <xf numFmtId="0" fontId="0" fillId="7" borderId="0" xfId="0" applyFill="1"/>
    <xf numFmtId="0" fontId="2" fillId="0" borderId="1" xfId="0" applyFont="1" applyFill="1" applyBorder="1"/>
    <xf numFmtId="0" fontId="2" fillId="0" borderId="1" xfId="0" applyFont="1" applyFill="1" applyBorder="1" applyAlignment="1">
      <alignment horizontal="left" wrapText="1"/>
    </xf>
    <xf numFmtId="0" fontId="6" fillId="0" borderId="42" xfId="1" applyFont="1" applyFill="1" applyBorder="1" applyAlignment="1">
      <alignment vertical="center" wrapText="1"/>
    </xf>
    <xf numFmtId="0" fontId="6" fillId="0" borderId="43" xfId="1" applyFont="1" applyFill="1" applyBorder="1" applyAlignment="1">
      <alignment vertical="center" wrapText="1"/>
    </xf>
    <xf numFmtId="0" fontId="6" fillId="0" borderId="44" xfId="1" applyFont="1" applyFill="1" applyBorder="1" applyAlignment="1">
      <alignment vertical="center" wrapText="1"/>
    </xf>
    <xf numFmtId="0" fontId="2" fillId="3" borderId="40" xfId="0" applyFont="1" applyFill="1" applyBorder="1"/>
    <xf numFmtId="0" fontId="2" fillId="0" borderId="41" xfId="0" applyFont="1" applyBorder="1"/>
    <xf numFmtId="0" fontId="5" fillId="0" borderId="19" xfId="1" applyFont="1" applyBorder="1" applyAlignment="1">
      <alignment horizontal="left" vertical="center" wrapText="1"/>
    </xf>
    <xf numFmtId="0" fontId="0" fillId="0" borderId="0" xfId="0" applyAlignment="1">
      <alignment horizontal="left" vertical="center" indent="2"/>
    </xf>
    <xf numFmtId="3" fontId="0" fillId="0" borderId="0" xfId="0" applyNumberFormat="1"/>
    <xf numFmtId="0" fontId="0" fillId="0" borderId="0" xfId="0" applyAlignment="1">
      <alignment horizontal="right"/>
    </xf>
    <xf numFmtId="0" fontId="24" fillId="7" borderId="40" xfId="0" applyFont="1" applyFill="1" applyBorder="1" applyAlignment="1">
      <alignment horizontal="center" wrapText="1"/>
    </xf>
    <xf numFmtId="0" fontId="24" fillId="7" borderId="41" xfId="0" applyFont="1" applyFill="1" applyBorder="1" applyAlignment="1">
      <alignment horizontal="center" wrapText="1"/>
    </xf>
    <xf numFmtId="0" fontId="9" fillId="7" borderId="0" xfId="0" applyFont="1" applyFill="1" applyAlignment="1">
      <alignment horizontal="center" wrapText="1"/>
    </xf>
    <xf numFmtId="0" fontId="8" fillId="0" borderId="2" xfId="0" applyFont="1" applyBorder="1" applyAlignment="1">
      <alignment horizontal="center" wrapText="1"/>
    </xf>
    <xf numFmtId="0" fontId="11" fillId="0" borderId="0" xfId="1" applyFont="1" applyBorder="1" applyAlignment="1">
      <alignment horizontal="center" vertical="top"/>
    </xf>
    <xf numFmtId="0" fontId="4" fillId="0" borderId="3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 wrapText="1"/>
    </xf>
    <xf numFmtId="0" fontId="4" fillId="0" borderId="0" xfId="1" applyFont="1" applyBorder="1" applyAlignment="1">
      <alignment horizontal="center" vertical="center" wrapText="1"/>
    </xf>
    <xf numFmtId="0" fontId="4" fillId="0" borderId="7" xfId="1" applyFont="1" applyBorder="1" applyAlignment="1">
      <alignment horizontal="center" vertical="center" wrapText="1"/>
    </xf>
    <xf numFmtId="0" fontId="4" fillId="0" borderId="8" xfId="1" applyFont="1" applyBorder="1" applyAlignment="1">
      <alignment horizontal="center" vertical="center" wrapText="1"/>
    </xf>
    <xf numFmtId="0" fontId="4" fillId="0" borderId="9" xfId="1" applyFont="1" applyBorder="1" applyAlignment="1">
      <alignment horizontal="center" vertical="center" wrapText="1"/>
    </xf>
    <xf numFmtId="0" fontId="4" fillId="0" borderId="10" xfId="1" applyFont="1" applyBorder="1" applyAlignment="1">
      <alignment horizontal="center" vertical="center" wrapText="1"/>
    </xf>
    <xf numFmtId="0" fontId="4" fillId="0" borderId="12" xfId="1" applyFont="1" applyBorder="1" applyAlignment="1">
      <alignment horizontal="center" vertical="center"/>
    </xf>
    <xf numFmtId="0" fontId="4" fillId="0" borderId="13" xfId="1" applyFont="1" applyBorder="1" applyAlignment="1">
      <alignment horizontal="center" vertical="center"/>
    </xf>
    <xf numFmtId="0" fontId="4" fillId="0" borderId="14" xfId="1" applyFont="1" applyBorder="1" applyAlignment="1">
      <alignment horizontal="center" vertical="center"/>
    </xf>
    <xf numFmtId="0" fontId="4" fillId="0" borderId="15" xfId="1" applyFont="1" applyBorder="1" applyAlignment="1">
      <alignment horizontal="center" vertical="center"/>
    </xf>
    <xf numFmtId="0" fontId="5" fillId="0" borderId="3" xfId="1" applyFont="1" applyBorder="1" applyAlignment="1">
      <alignment horizontal="left" vertical="center" wrapText="1"/>
    </xf>
    <xf numFmtId="0" fontId="10" fillId="0" borderId="6" xfId="1" applyBorder="1" applyAlignment="1">
      <alignment horizontal="left" vertical="center" wrapText="1"/>
    </xf>
    <xf numFmtId="0" fontId="10" fillId="0" borderId="8" xfId="1" applyBorder="1" applyAlignment="1">
      <alignment horizontal="left" vertical="center" wrapText="1"/>
    </xf>
    <xf numFmtId="0" fontId="5" fillId="0" borderId="16" xfId="1" applyFont="1" applyBorder="1" applyAlignment="1">
      <alignment horizontal="center" vertical="center" wrapText="1"/>
    </xf>
    <xf numFmtId="0" fontId="10" fillId="0" borderId="17" xfId="1" applyBorder="1" applyAlignment="1">
      <alignment horizontal="center" vertical="center" wrapText="1"/>
    </xf>
    <xf numFmtId="0" fontId="5" fillId="0" borderId="17" xfId="1" applyFont="1" applyBorder="1" applyAlignment="1">
      <alignment horizontal="center" vertical="center" wrapText="1"/>
    </xf>
    <xf numFmtId="0" fontId="10" fillId="0" borderId="18" xfId="1" applyBorder="1" applyAlignment="1">
      <alignment horizontal="center" vertical="center" wrapText="1"/>
    </xf>
    <xf numFmtId="0" fontId="5" fillId="0" borderId="18" xfId="1" applyFont="1" applyBorder="1" applyAlignment="1">
      <alignment horizontal="center" vertical="center" wrapText="1"/>
    </xf>
    <xf numFmtId="0" fontId="23" fillId="0" borderId="6" xfId="1" applyFont="1" applyBorder="1" applyAlignment="1">
      <alignment horizontal="center" vertical="center" wrapText="1"/>
    </xf>
    <xf numFmtId="0" fontId="23" fillId="0" borderId="0" xfId="1" applyFont="1" applyBorder="1" applyAlignment="1">
      <alignment horizontal="center" vertical="center" wrapText="1"/>
    </xf>
    <xf numFmtId="0" fontId="23" fillId="0" borderId="0" xfId="1" applyFont="1" applyFill="1" applyBorder="1" applyAlignment="1">
      <alignment horizontal="center" vertical="center" wrapText="1"/>
    </xf>
    <xf numFmtId="0" fontId="19" fillId="0" borderId="20" xfId="1" applyFont="1" applyBorder="1" applyAlignment="1">
      <alignment vertical="center" wrapText="1"/>
    </xf>
    <xf numFmtId="0" fontId="19" fillId="0" borderId="21" xfId="1" applyFont="1" applyBorder="1" applyAlignment="1">
      <alignment vertical="center" wrapText="1"/>
    </xf>
    <xf numFmtId="0" fontId="19" fillId="0" borderId="22" xfId="1" applyFont="1" applyBorder="1" applyAlignment="1">
      <alignment vertical="center" wrapText="1"/>
    </xf>
    <xf numFmtId="0" fontId="12" fillId="0" borderId="20" xfId="1" applyFont="1" applyBorder="1" applyAlignment="1">
      <alignment horizontal="center" vertical="center" wrapText="1"/>
    </xf>
    <xf numFmtId="0" fontId="12" fillId="0" borderId="21" xfId="1" applyFont="1" applyBorder="1" applyAlignment="1">
      <alignment horizontal="center" vertical="center" wrapText="1"/>
    </xf>
    <xf numFmtId="0" fontId="12" fillId="0" borderId="22" xfId="1" applyFont="1" applyBorder="1" applyAlignment="1">
      <alignment horizontal="center" vertical="center" wrapText="1"/>
    </xf>
    <xf numFmtId="0" fontId="25" fillId="0" borderId="20" xfId="1" applyFont="1" applyBorder="1" applyAlignment="1">
      <alignment horizontal="center" vertical="center" wrapText="1"/>
    </xf>
    <xf numFmtId="0" fontId="25" fillId="0" borderId="21" xfId="1" applyFont="1" applyBorder="1" applyAlignment="1">
      <alignment horizontal="center" vertical="center" wrapText="1"/>
    </xf>
    <xf numFmtId="0" fontId="25" fillId="0" borderId="22" xfId="1" applyFont="1" applyBorder="1" applyAlignment="1">
      <alignment horizontal="center" vertical="center" wrapText="1"/>
    </xf>
    <xf numFmtId="0" fontId="13" fillId="0" borderId="20" xfId="1" applyFont="1" applyBorder="1" applyAlignment="1">
      <alignment vertical="center" wrapText="1"/>
    </xf>
    <xf numFmtId="0" fontId="13" fillId="0" borderId="21" xfId="1" applyFont="1" applyBorder="1" applyAlignment="1">
      <alignment vertical="center" wrapText="1"/>
    </xf>
    <xf numFmtId="0" fontId="13" fillId="0" borderId="22" xfId="1" applyFont="1" applyBorder="1" applyAlignment="1">
      <alignment vertical="center" wrapText="1"/>
    </xf>
    <xf numFmtId="0" fontId="4" fillId="0" borderId="20" xfId="1" applyFont="1" applyBorder="1" applyAlignment="1">
      <alignment vertical="center" wrapText="1"/>
    </xf>
    <xf numFmtId="0" fontId="4" fillId="0" borderId="21" xfId="1" applyFont="1" applyBorder="1" applyAlignment="1">
      <alignment vertical="center" wrapText="1"/>
    </xf>
    <xf numFmtId="0" fontId="4" fillId="0" borderId="22" xfId="1" applyFont="1" applyBorder="1" applyAlignment="1">
      <alignment vertical="center" wrapText="1"/>
    </xf>
    <xf numFmtId="0" fontId="11" fillId="0" borderId="0" xfId="1" applyFont="1" applyAlignment="1">
      <alignment horizontal="center" vertical="center"/>
    </xf>
    <xf numFmtId="0" fontId="11" fillId="0" borderId="0" xfId="1" applyFont="1" applyAlignment="1">
      <alignment vertical="center"/>
    </xf>
    <xf numFmtId="0" fontId="26" fillId="0" borderId="20" xfId="1" applyFont="1" applyBorder="1" applyAlignment="1">
      <alignment vertical="center" wrapText="1"/>
    </xf>
    <xf numFmtId="0" fontId="26" fillId="0" borderId="21" xfId="1" applyFont="1" applyBorder="1" applyAlignment="1">
      <alignment vertical="center" wrapText="1"/>
    </xf>
    <xf numFmtId="0" fontId="26" fillId="0" borderId="22" xfId="1" applyFont="1" applyBorder="1" applyAlignment="1">
      <alignment vertical="center" wrapText="1"/>
    </xf>
    <xf numFmtId="0" fontId="19" fillId="0" borderId="30" xfId="1" applyFont="1" applyBorder="1" applyAlignment="1">
      <alignment vertical="center" wrapText="1"/>
    </xf>
    <xf numFmtId="0" fontId="19" fillId="0" borderId="31" xfId="1" applyFont="1" applyBorder="1" applyAlignment="1">
      <alignment vertical="center" wrapText="1"/>
    </xf>
    <xf numFmtId="0" fontId="19" fillId="0" borderId="32" xfId="1" applyFont="1" applyBorder="1" applyAlignment="1">
      <alignment vertical="center" wrapText="1"/>
    </xf>
    <xf numFmtId="0" fontId="14" fillId="0" borderId="37" xfId="1" applyFont="1" applyBorder="1" applyAlignment="1">
      <alignment horizontal="left" vertical="center" wrapText="1"/>
    </xf>
    <xf numFmtId="0" fontId="16" fillId="0" borderId="38" xfId="1" applyFont="1" applyBorder="1" applyAlignment="1">
      <alignment horizontal="left" vertical="center" wrapText="1"/>
    </xf>
    <xf numFmtId="0" fontId="16" fillId="0" borderId="39" xfId="1" applyFont="1" applyBorder="1" applyAlignment="1">
      <alignment horizontal="left" vertical="center" wrapText="1"/>
    </xf>
    <xf numFmtId="0" fontId="11" fillId="0" borderId="0" xfId="1" applyFont="1" applyAlignment="1">
      <alignment horizontal="center"/>
    </xf>
    <xf numFmtId="0" fontId="14" fillId="0" borderId="33" xfId="1" applyFont="1" applyBorder="1" applyAlignment="1">
      <alignment horizontal="center" vertical="center" wrapText="1"/>
    </xf>
    <xf numFmtId="0" fontId="14" fillId="0" borderId="35" xfId="1" applyFont="1" applyBorder="1" applyAlignment="1">
      <alignment horizontal="center" vertical="center" wrapText="1"/>
    </xf>
    <xf numFmtId="0" fontId="14" fillId="0" borderId="38" xfId="1" applyFont="1" applyBorder="1" applyAlignment="1">
      <alignment horizontal="left" vertical="center" wrapText="1"/>
    </xf>
    <xf numFmtId="0" fontId="14" fillId="0" borderId="39" xfId="1" applyFont="1" applyBorder="1" applyAlignment="1">
      <alignment horizontal="left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OLD%20IT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PAGE 1 &amp; 2"/>
      <sheetName val="PAGE 3"/>
      <sheetName val="PAGE 4"/>
    </sheetNames>
    <sheetDataSet>
      <sheetData sheetId="0">
        <row r="14">
          <cell r="D14" t="str">
            <v>Assistant Professor</v>
          </cell>
        </row>
        <row r="34">
          <cell r="D34">
            <v>0</v>
          </cell>
        </row>
        <row r="39">
          <cell r="D39">
            <v>0</v>
          </cell>
        </row>
        <row r="55">
          <cell r="S55">
            <v>0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4"/>
  <sheetViews>
    <sheetView topLeftCell="A13" workbookViewId="0">
      <selection activeCell="B19" sqref="B19"/>
    </sheetView>
  </sheetViews>
  <sheetFormatPr defaultRowHeight="15" x14ac:dyDescent="0.25"/>
  <cols>
    <col min="1" max="1" width="55.85546875" customWidth="1"/>
    <col min="2" max="2" width="33.42578125" customWidth="1"/>
  </cols>
  <sheetData>
    <row r="1" spans="1:7" x14ac:dyDescent="0.25">
      <c r="A1" s="103" t="s">
        <v>158</v>
      </c>
      <c r="B1" s="103"/>
      <c r="C1" s="89"/>
    </row>
    <row r="2" spans="1:7" x14ac:dyDescent="0.25">
      <c r="A2" s="104" t="s">
        <v>277</v>
      </c>
      <c r="B2" s="104"/>
      <c r="C2" s="87"/>
    </row>
    <row r="3" spans="1:7" hidden="1" x14ac:dyDescent="0.25">
      <c r="A3" s="1" t="s">
        <v>5</v>
      </c>
      <c r="B3" s="1" t="s">
        <v>0</v>
      </c>
    </row>
    <row r="4" spans="1:7" ht="15" customHeight="1" x14ac:dyDescent="0.25">
      <c r="A4" s="5" t="s">
        <v>144</v>
      </c>
      <c r="B4" s="1" t="s">
        <v>145</v>
      </c>
      <c r="C4" s="86"/>
      <c r="E4" s="86"/>
      <c r="F4" s="88" t="s">
        <v>142</v>
      </c>
      <c r="G4" s="88"/>
    </row>
    <row r="5" spans="1:7" ht="15" customHeight="1" x14ac:dyDescent="0.25">
      <c r="A5" s="95" t="s">
        <v>161</v>
      </c>
      <c r="B5" s="96" t="s">
        <v>162</v>
      </c>
      <c r="C5" s="86"/>
      <c r="E5" s="86"/>
      <c r="F5" s="88"/>
      <c r="G5" s="88"/>
    </row>
    <row r="6" spans="1:7" ht="15" customHeight="1" x14ac:dyDescent="0.25">
      <c r="A6" s="101" t="s">
        <v>127</v>
      </c>
      <c r="B6" s="102"/>
      <c r="C6" s="89"/>
      <c r="E6" s="87"/>
      <c r="F6" s="88" t="s">
        <v>143</v>
      </c>
      <c r="G6" s="88"/>
    </row>
    <row r="7" spans="1:7" ht="15" customHeight="1" x14ac:dyDescent="0.25">
      <c r="A7" s="75" t="s">
        <v>1</v>
      </c>
      <c r="B7" s="75" t="s">
        <v>313</v>
      </c>
      <c r="C7" s="87"/>
    </row>
    <row r="8" spans="1:7" ht="15.75" customHeight="1" x14ac:dyDescent="0.25">
      <c r="A8" s="75" t="s">
        <v>7</v>
      </c>
      <c r="B8" s="75" t="s">
        <v>314</v>
      </c>
      <c r="C8" s="86"/>
    </row>
    <row r="9" spans="1:7" ht="15.75" customHeight="1" x14ac:dyDescent="0.25">
      <c r="A9" s="75" t="s">
        <v>3</v>
      </c>
      <c r="B9" s="75" t="s">
        <v>315</v>
      </c>
      <c r="C9" s="86"/>
    </row>
    <row r="10" spans="1:7" ht="15.75" customHeight="1" x14ac:dyDescent="0.25">
      <c r="A10" s="75" t="s">
        <v>2</v>
      </c>
      <c r="B10" s="75" t="s">
        <v>316</v>
      </c>
      <c r="C10" s="87"/>
    </row>
    <row r="11" spans="1:7" x14ac:dyDescent="0.25">
      <c r="A11" s="75" t="s">
        <v>6</v>
      </c>
      <c r="B11" s="76" t="s">
        <v>317</v>
      </c>
      <c r="C11" s="87"/>
    </row>
    <row r="12" spans="1:7" x14ac:dyDescent="0.25">
      <c r="A12" s="75" t="s">
        <v>4</v>
      </c>
      <c r="B12" s="75">
        <v>9488027246</v>
      </c>
      <c r="C12" s="87"/>
    </row>
    <row r="13" spans="1:7" x14ac:dyDescent="0.25">
      <c r="A13" s="101" t="s">
        <v>8</v>
      </c>
      <c r="B13" s="102"/>
      <c r="C13" s="89"/>
    </row>
    <row r="14" spans="1:7" x14ac:dyDescent="0.25">
      <c r="A14" s="75" t="s">
        <v>149</v>
      </c>
      <c r="B14" s="75">
        <v>82200</v>
      </c>
      <c r="C14" s="87"/>
    </row>
    <row r="15" spans="1:7" x14ac:dyDescent="0.25">
      <c r="A15" s="2" t="s">
        <v>20</v>
      </c>
      <c r="B15" s="75">
        <v>4</v>
      </c>
      <c r="C15" s="86"/>
    </row>
    <row r="16" spans="1:7" x14ac:dyDescent="0.25">
      <c r="A16" s="75" t="s">
        <v>11</v>
      </c>
      <c r="B16" s="75" t="s">
        <v>128</v>
      </c>
      <c r="C16" s="86"/>
    </row>
    <row r="17" spans="1:12" x14ac:dyDescent="0.25">
      <c r="A17" s="75" t="s">
        <v>9</v>
      </c>
      <c r="B17" s="75">
        <v>3200</v>
      </c>
      <c r="C17" s="87"/>
    </row>
    <row r="18" spans="1:12" x14ac:dyDescent="0.25">
      <c r="A18" s="75" t="s">
        <v>34</v>
      </c>
      <c r="B18" s="75">
        <v>70</v>
      </c>
      <c r="C18" s="87"/>
    </row>
    <row r="19" spans="1:12" x14ac:dyDescent="0.25">
      <c r="A19" s="75" t="s">
        <v>10</v>
      </c>
      <c r="B19" s="75">
        <v>70</v>
      </c>
      <c r="C19" s="87"/>
    </row>
    <row r="20" spans="1:12" x14ac:dyDescent="0.25">
      <c r="A20" s="75" t="s">
        <v>140</v>
      </c>
      <c r="B20" s="75">
        <v>300</v>
      </c>
      <c r="C20" s="87"/>
    </row>
    <row r="21" spans="1:12" x14ac:dyDescent="0.25">
      <c r="A21" s="75" t="s">
        <v>35</v>
      </c>
      <c r="B21" s="75"/>
      <c r="C21" s="87"/>
    </row>
    <row r="22" spans="1:12" x14ac:dyDescent="0.25">
      <c r="A22" s="75" t="s">
        <v>139</v>
      </c>
      <c r="B22" s="75"/>
      <c r="C22" s="87"/>
      <c r="J22" s="100"/>
      <c r="K22">
        <v>210493</v>
      </c>
      <c r="L22">
        <v>25799</v>
      </c>
    </row>
    <row r="23" spans="1:12" x14ac:dyDescent="0.25">
      <c r="A23" s="75" t="s">
        <v>138</v>
      </c>
      <c r="B23" s="75"/>
      <c r="C23" s="87"/>
      <c r="J23" s="99"/>
      <c r="K23">
        <v>80475</v>
      </c>
      <c r="L23">
        <v>39525</v>
      </c>
    </row>
    <row r="24" spans="1:12" x14ac:dyDescent="0.25">
      <c r="A24" s="3" t="s">
        <v>12</v>
      </c>
      <c r="B24" s="75"/>
      <c r="C24" s="87"/>
      <c r="J24" s="99"/>
      <c r="K24">
        <v>67313</v>
      </c>
      <c r="L24">
        <v>55087</v>
      </c>
    </row>
    <row r="25" spans="1:12" x14ac:dyDescent="0.25">
      <c r="A25" s="3" t="s">
        <v>13</v>
      </c>
      <c r="B25" s="75">
        <v>358281</v>
      </c>
      <c r="C25" s="87"/>
      <c r="K25">
        <f>SUM(K22:K24)</f>
        <v>358281</v>
      </c>
      <c r="L25">
        <f>SUM(L22:L24)</f>
        <v>120411</v>
      </c>
    </row>
    <row r="26" spans="1:12" x14ac:dyDescent="0.25">
      <c r="A26" s="3" t="s">
        <v>14</v>
      </c>
      <c r="B26" s="75">
        <v>120411</v>
      </c>
      <c r="C26" s="87"/>
    </row>
    <row r="27" spans="1:12" ht="30" x14ac:dyDescent="0.25">
      <c r="A27" s="4" t="s">
        <v>15</v>
      </c>
      <c r="B27" s="75"/>
      <c r="C27" s="87"/>
    </row>
    <row r="28" spans="1:12" x14ac:dyDescent="0.25">
      <c r="A28" s="4" t="s">
        <v>16</v>
      </c>
      <c r="B28" s="75">
        <v>5000</v>
      </c>
      <c r="C28" s="87"/>
    </row>
    <row r="29" spans="1:12" x14ac:dyDescent="0.25">
      <c r="A29" s="3" t="s">
        <v>17</v>
      </c>
      <c r="B29" s="75">
        <v>1250</v>
      </c>
      <c r="C29" s="87"/>
    </row>
    <row r="30" spans="1:12" x14ac:dyDescent="0.25">
      <c r="A30" s="3" t="s">
        <v>18</v>
      </c>
      <c r="B30" s="75"/>
      <c r="C30" s="87"/>
    </row>
    <row r="31" spans="1:12" x14ac:dyDescent="0.25">
      <c r="A31" s="3" t="s">
        <v>19</v>
      </c>
      <c r="B31" s="75"/>
      <c r="C31" s="87"/>
    </row>
    <row r="32" spans="1:12" x14ac:dyDescent="0.25">
      <c r="A32" s="90" t="s">
        <v>132</v>
      </c>
      <c r="B32" s="1" t="s">
        <v>318</v>
      </c>
      <c r="C32" s="86"/>
    </row>
    <row r="33" spans="1:3" x14ac:dyDescent="0.25">
      <c r="A33" s="91" t="s">
        <v>133</v>
      </c>
      <c r="B33" s="82">
        <v>6</v>
      </c>
      <c r="C33" s="86"/>
    </row>
    <row r="34" spans="1:3" x14ac:dyDescent="0.25">
      <c r="A34" s="1" t="s">
        <v>160</v>
      </c>
      <c r="B34" s="75"/>
      <c r="C34" s="87"/>
    </row>
  </sheetData>
  <mergeCells count="4">
    <mergeCell ref="A6:B6"/>
    <mergeCell ref="A13:B13"/>
    <mergeCell ref="A1:B1"/>
    <mergeCell ref="A2:B2"/>
  </mergeCells>
  <dataValidations count="7">
    <dataValidation type="list" allowBlank="1" showInputMessage="1" showErrorMessage="1" prompt="New, Old" sqref="B4" xr:uid="{00000000-0002-0000-0000-000000000000}">
      <formula1>"New, Old"</formula1>
    </dataValidation>
    <dataValidation type="list" allowBlank="1" showInputMessage="1" showErrorMessage="1" sqref="B8" xr:uid="{F5C93F74-CCAA-4EAB-A682-B275EB0C1E99}">
      <formula1>"Principal, Associate Professor, Assistant Professor, Librarian, Physical Director"</formula1>
    </dataValidation>
    <dataValidation type="list" allowBlank="1" showInputMessage="1" showErrorMessage="1" sqref="B15" xr:uid="{00000000-0002-0000-0000-000002000000}">
      <formula1>"1,4,7,10"</formula1>
    </dataValidation>
    <dataValidation type="list" allowBlank="1" showInputMessage="1" showErrorMessage="1" sqref="B16" xr:uid="{00000000-0002-0000-0000-000003000000}">
      <formula1>"GPF, CPS"</formula1>
    </dataValidation>
    <dataValidation type="list" allowBlank="1" showInputMessage="1" showErrorMessage="1" sqref="B32" xr:uid="{00000000-0002-0000-0000-000004000000}">
      <formula1>"Yes, No"</formula1>
    </dataValidation>
    <dataValidation type="list" allowBlank="1" showInputMessage="1" showErrorMessage="1" sqref="B33" xr:uid="{00000000-0002-0000-0000-000005000000}">
      <formula1>"1,2,3,4,5,6,7,8,9,10,11,12"</formula1>
    </dataValidation>
    <dataValidation type="list" allowBlank="1" showInputMessage="1" showErrorMessage="1" prompt="New, Old" sqref="B5" xr:uid="{2827A3F1-20E3-4BCC-8ECF-C7E26E3D7C21}">
      <formula1>"Chennai, Others"</formula1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221B02F-FC5A-4ACA-B5C5-7EDABC2803E8}">
          <x14:formula1>
            <xm:f>'college list'!$A:$A</xm:f>
          </x14:formula1>
          <xm:sqref>A2:B2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917C41-25C6-4D80-84E6-B9B99D55B8FF}">
  <dimension ref="A1:A149"/>
  <sheetViews>
    <sheetView workbookViewId="0">
      <selection activeCell="P15" sqref="P15"/>
    </sheetView>
  </sheetViews>
  <sheetFormatPr defaultRowHeight="15" x14ac:dyDescent="0.25"/>
  <sheetData>
    <row r="1" spans="1:1" x14ac:dyDescent="0.25">
      <c r="A1" s="98" t="s">
        <v>164</v>
      </c>
    </row>
    <row r="2" spans="1:1" x14ac:dyDescent="0.25">
      <c r="A2" s="98" t="s">
        <v>165</v>
      </c>
    </row>
    <row r="3" spans="1:1" x14ac:dyDescent="0.25">
      <c r="A3" s="98" t="s">
        <v>166</v>
      </c>
    </row>
    <row r="4" spans="1:1" x14ac:dyDescent="0.25">
      <c r="A4" s="98" t="s">
        <v>167</v>
      </c>
    </row>
    <row r="5" spans="1:1" x14ac:dyDescent="0.25">
      <c r="A5" s="98" t="s">
        <v>168</v>
      </c>
    </row>
    <row r="6" spans="1:1" x14ac:dyDescent="0.25">
      <c r="A6" s="98" t="s">
        <v>169</v>
      </c>
    </row>
    <row r="7" spans="1:1" x14ac:dyDescent="0.25">
      <c r="A7" s="98" t="s">
        <v>170</v>
      </c>
    </row>
    <row r="8" spans="1:1" x14ac:dyDescent="0.25">
      <c r="A8" s="98" t="s">
        <v>171</v>
      </c>
    </row>
    <row r="9" spans="1:1" x14ac:dyDescent="0.25">
      <c r="A9" s="98" t="s">
        <v>172</v>
      </c>
    </row>
    <row r="10" spans="1:1" x14ac:dyDescent="0.25">
      <c r="A10" s="98" t="s">
        <v>173</v>
      </c>
    </row>
    <row r="11" spans="1:1" x14ac:dyDescent="0.25">
      <c r="A11" s="98" t="s">
        <v>174</v>
      </c>
    </row>
    <row r="12" spans="1:1" x14ac:dyDescent="0.25">
      <c r="A12" s="98" t="s">
        <v>175</v>
      </c>
    </row>
    <row r="13" spans="1:1" x14ac:dyDescent="0.25">
      <c r="A13" s="98" t="s">
        <v>176</v>
      </c>
    </row>
    <row r="14" spans="1:1" x14ac:dyDescent="0.25">
      <c r="A14" s="98" t="s">
        <v>177</v>
      </c>
    </row>
    <row r="15" spans="1:1" x14ac:dyDescent="0.25">
      <c r="A15" s="98" t="s">
        <v>178</v>
      </c>
    </row>
    <row r="16" spans="1:1" x14ac:dyDescent="0.25">
      <c r="A16" s="98" t="s">
        <v>179</v>
      </c>
    </row>
    <row r="17" spans="1:1" x14ac:dyDescent="0.25">
      <c r="A17" s="98" t="s">
        <v>180</v>
      </c>
    </row>
    <row r="18" spans="1:1" x14ac:dyDescent="0.25">
      <c r="A18" s="98" t="s">
        <v>181</v>
      </c>
    </row>
    <row r="19" spans="1:1" x14ac:dyDescent="0.25">
      <c r="A19" s="98" t="s">
        <v>182</v>
      </c>
    </row>
    <row r="20" spans="1:1" x14ac:dyDescent="0.25">
      <c r="A20" s="98" t="s">
        <v>183</v>
      </c>
    </row>
    <row r="21" spans="1:1" x14ac:dyDescent="0.25">
      <c r="A21" s="98" t="s">
        <v>184</v>
      </c>
    </row>
    <row r="22" spans="1:1" x14ac:dyDescent="0.25">
      <c r="A22" s="98" t="s">
        <v>185</v>
      </c>
    </row>
    <row r="23" spans="1:1" x14ac:dyDescent="0.25">
      <c r="A23" s="98" t="s">
        <v>186</v>
      </c>
    </row>
    <row r="24" spans="1:1" x14ac:dyDescent="0.25">
      <c r="A24" s="98" t="s">
        <v>187</v>
      </c>
    </row>
    <row r="25" spans="1:1" x14ac:dyDescent="0.25">
      <c r="A25" s="98" t="s">
        <v>188</v>
      </c>
    </row>
    <row r="26" spans="1:1" x14ac:dyDescent="0.25">
      <c r="A26" s="98" t="s">
        <v>189</v>
      </c>
    </row>
    <row r="27" spans="1:1" x14ac:dyDescent="0.25">
      <c r="A27" s="98" t="s">
        <v>190</v>
      </c>
    </row>
    <row r="28" spans="1:1" x14ac:dyDescent="0.25">
      <c r="A28" s="98" t="s">
        <v>191</v>
      </c>
    </row>
    <row r="29" spans="1:1" x14ac:dyDescent="0.25">
      <c r="A29" s="98" t="s">
        <v>192</v>
      </c>
    </row>
    <row r="30" spans="1:1" x14ac:dyDescent="0.25">
      <c r="A30" s="98" t="s">
        <v>193</v>
      </c>
    </row>
    <row r="31" spans="1:1" x14ac:dyDescent="0.25">
      <c r="A31" s="98" t="s">
        <v>194</v>
      </c>
    </row>
    <row r="32" spans="1:1" x14ac:dyDescent="0.25">
      <c r="A32" s="98" t="s">
        <v>195</v>
      </c>
    </row>
    <row r="33" spans="1:1" x14ac:dyDescent="0.25">
      <c r="A33" s="98" t="s">
        <v>196</v>
      </c>
    </row>
    <row r="34" spans="1:1" x14ac:dyDescent="0.25">
      <c r="A34" s="98" t="s">
        <v>197</v>
      </c>
    </row>
    <row r="35" spans="1:1" x14ac:dyDescent="0.25">
      <c r="A35" s="98" t="s">
        <v>198</v>
      </c>
    </row>
    <row r="36" spans="1:1" x14ac:dyDescent="0.25">
      <c r="A36" s="98" t="s">
        <v>199</v>
      </c>
    </row>
    <row r="37" spans="1:1" x14ac:dyDescent="0.25">
      <c r="A37" s="98" t="s">
        <v>200</v>
      </c>
    </row>
    <row r="38" spans="1:1" x14ac:dyDescent="0.25">
      <c r="A38" s="98" t="s">
        <v>201</v>
      </c>
    </row>
    <row r="39" spans="1:1" x14ac:dyDescent="0.25">
      <c r="A39" s="98" t="s">
        <v>202</v>
      </c>
    </row>
    <row r="40" spans="1:1" x14ac:dyDescent="0.25">
      <c r="A40" s="98" t="s">
        <v>203</v>
      </c>
    </row>
    <row r="41" spans="1:1" x14ac:dyDescent="0.25">
      <c r="A41" s="98" t="s">
        <v>204</v>
      </c>
    </row>
    <row r="42" spans="1:1" x14ac:dyDescent="0.25">
      <c r="A42" s="98" t="s">
        <v>205</v>
      </c>
    </row>
    <row r="43" spans="1:1" x14ac:dyDescent="0.25">
      <c r="A43" s="98" t="s">
        <v>206</v>
      </c>
    </row>
    <row r="44" spans="1:1" x14ac:dyDescent="0.25">
      <c r="A44" s="98" t="s">
        <v>207</v>
      </c>
    </row>
    <row r="45" spans="1:1" x14ac:dyDescent="0.25">
      <c r="A45" s="98" t="s">
        <v>208</v>
      </c>
    </row>
    <row r="46" spans="1:1" x14ac:dyDescent="0.25">
      <c r="A46" s="98" t="s">
        <v>209</v>
      </c>
    </row>
    <row r="47" spans="1:1" x14ac:dyDescent="0.25">
      <c r="A47" s="98" t="s">
        <v>210</v>
      </c>
    </row>
    <row r="48" spans="1:1" x14ac:dyDescent="0.25">
      <c r="A48" s="98" t="s">
        <v>211</v>
      </c>
    </row>
    <row r="49" spans="1:1" x14ac:dyDescent="0.25">
      <c r="A49" s="98" t="s">
        <v>212</v>
      </c>
    </row>
    <row r="50" spans="1:1" x14ac:dyDescent="0.25">
      <c r="A50" s="98" t="s">
        <v>213</v>
      </c>
    </row>
    <row r="51" spans="1:1" x14ac:dyDescent="0.25">
      <c r="A51" s="98" t="s">
        <v>214</v>
      </c>
    </row>
    <row r="52" spans="1:1" x14ac:dyDescent="0.25">
      <c r="A52" s="98" t="s">
        <v>215</v>
      </c>
    </row>
    <row r="53" spans="1:1" x14ac:dyDescent="0.25">
      <c r="A53" s="98" t="s">
        <v>216</v>
      </c>
    </row>
    <row r="54" spans="1:1" x14ac:dyDescent="0.25">
      <c r="A54" s="98" t="s">
        <v>217</v>
      </c>
    </row>
    <row r="55" spans="1:1" x14ac:dyDescent="0.25">
      <c r="A55" s="98" t="s">
        <v>218</v>
      </c>
    </row>
    <row r="56" spans="1:1" x14ac:dyDescent="0.25">
      <c r="A56" s="98" t="s">
        <v>219</v>
      </c>
    </row>
    <row r="57" spans="1:1" x14ac:dyDescent="0.25">
      <c r="A57" s="98" t="s">
        <v>220</v>
      </c>
    </row>
    <row r="58" spans="1:1" x14ac:dyDescent="0.25">
      <c r="A58" s="98" t="s">
        <v>221</v>
      </c>
    </row>
    <row r="59" spans="1:1" x14ac:dyDescent="0.25">
      <c r="A59" s="98" t="s">
        <v>222</v>
      </c>
    </row>
    <row r="60" spans="1:1" x14ac:dyDescent="0.25">
      <c r="A60" s="98" t="s">
        <v>223</v>
      </c>
    </row>
    <row r="61" spans="1:1" x14ac:dyDescent="0.25">
      <c r="A61" s="98" t="s">
        <v>224</v>
      </c>
    </row>
    <row r="62" spans="1:1" x14ac:dyDescent="0.25">
      <c r="A62" s="98" t="s">
        <v>225</v>
      </c>
    </row>
    <row r="63" spans="1:1" x14ac:dyDescent="0.25">
      <c r="A63" s="98" t="s">
        <v>226</v>
      </c>
    </row>
    <row r="64" spans="1:1" x14ac:dyDescent="0.25">
      <c r="A64" s="98" t="s">
        <v>227</v>
      </c>
    </row>
    <row r="65" spans="1:1" x14ac:dyDescent="0.25">
      <c r="A65" s="98" t="s">
        <v>228</v>
      </c>
    </row>
    <row r="66" spans="1:1" x14ac:dyDescent="0.25">
      <c r="A66" s="98" t="s">
        <v>229</v>
      </c>
    </row>
    <row r="67" spans="1:1" x14ac:dyDescent="0.25">
      <c r="A67" s="98" t="s">
        <v>230</v>
      </c>
    </row>
    <row r="68" spans="1:1" x14ac:dyDescent="0.25">
      <c r="A68" s="98" t="s">
        <v>231</v>
      </c>
    </row>
    <row r="69" spans="1:1" x14ac:dyDescent="0.25">
      <c r="A69" s="98" t="s">
        <v>232</v>
      </c>
    </row>
    <row r="70" spans="1:1" x14ac:dyDescent="0.25">
      <c r="A70" s="98" t="s">
        <v>233</v>
      </c>
    </row>
    <row r="71" spans="1:1" x14ac:dyDescent="0.25">
      <c r="A71" s="98" t="s">
        <v>234</v>
      </c>
    </row>
    <row r="72" spans="1:1" x14ac:dyDescent="0.25">
      <c r="A72" s="98" t="s">
        <v>235</v>
      </c>
    </row>
    <row r="73" spans="1:1" x14ac:dyDescent="0.25">
      <c r="A73" s="98" t="s">
        <v>236</v>
      </c>
    </row>
    <row r="74" spans="1:1" x14ac:dyDescent="0.25">
      <c r="A74" s="98" t="s">
        <v>237</v>
      </c>
    </row>
    <row r="75" spans="1:1" x14ac:dyDescent="0.25">
      <c r="A75" s="98" t="s">
        <v>238</v>
      </c>
    </row>
    <row r="76" spans="1:1" x14ac:dyDescent="0.25">
      <c r="A76" s="98" t="s">
        <v>239</v>
      </c>
    </row>
    <row r="77" spans="1:1" x14ac:dyDescent="0.25">
      <c r="A77" s="98" t="s">
        <v>240</v>
      </c>
    </row>
    <row r="78" spans="1:1" x14ac:dyDescent="0.25">
      <c r="A78" s="98" t="s">
        <v>241</v>
      </c>
    </row>
    <row r="79" spans="1:1" x14ac:dyDescent="0.25">
      <c r="A79" s="98" t="s">
        <v>242</v>
      </c>
    </row>
    <row r="80" spans="1:1" x14ac:dyDescent="0.25">
      <c r="A80" s="98" t="s">
        <v>243</v>
      </c>
    </row>
    <row r="81" spans="1:1" x14ac:dyDescent="0.25">
      <c r="A81" s="98" t="s">
        <v>244</v>
      </c>
    </row>
    <row r="82" spans="1:1" x14ac:dyDescent="0.25">
      <c r="A82" s="98" t="s">
        <v>245</v>
      </c>
    </row>
    <row r="83" spans="1:1" x14ac:dyDescent="0.25">
      <c r="A83" s="98" t="s">
        <v>246</v>
      </c>
    </row>
    <row r="84" spans="1:1" x14ac:dyDescent="0.25">
      <c r="A84" s="98" t="s">
        <v>247</v>
      </c>
    </row>
    <row r="85" spans="1:1" x14ac:dyDescent="0.25">
      <c r="A85" s="98" t="s">
        <v>248</v>
      </c>
    </row>
    <row r="86" spans="1:1" x14ac:dyDescent="0.25">
      <c r="A86" s="98" t="s">
        <v>249</v>
      </c>
    </row>
    <row r="87" spans="1:1" x14ac:dyDescent="0.25">
      <c r="A87" s="98" t="s">
        <v>250</v>
      </c>
    </row>
    <row r="88" spans="1:1" x14ac:dyDescent="0.25">
      <c r="A88" s="98" t="s">
        <v>251</v>
      </c>
    </row>
    <row r="89" spans="1:1" x14ac:dyDescent="0.25">
      <c r="A89" s="98" t="s">
        <v>252</v>
      </c>
    </row>
    <row r="90" spans="1:1" x14ac:dyDescent="0.25">
      <c r="A90" s="98" t="s">
        <v>253</v>
      </c>
    </row>
    <row r="91" spans="1:1" x14ac:dyDescent="0.25">
      <c r="A91" s="98" t="s">
        <v>254</v>
      </c>
    </row>
    <row r="92" spans="1:1" x14ac:dyDescent="0.25">
      <c r="A92" s="98" t="s">
        <v>255</v>
      </c>
    </row>
    <row r="93" spans="1:1" x14ac:dyDescent="0.25">
      <c r="A93" s="98" t="s">
        <v>256</v>
      </c>
    </row>
    <row r="94" spans="1:1" x14ac:dyDescent="0.25">
      <c r="A94" s="98" t="s">
        <v>257</v>
      </c>
    </row>
    <row r="95" spans="1:1" x14ac:dyDescent="0.25">
      <c r="A95" s="98" t="s">
        <v>258</v>
      </c>
    </row>
    <row r="96" spans="1:1" x14ac:dyDescent="0.25">
      <c r="A96" s="98" t="s">
        <v>259</v>
      </c>
    </row>
    <row r="97" spans="1:1" x14ac:dyDescent="0.25">
      <c r="A97" s="98" t="s">
        <v>260</v>
      </c>
    </row>
    <row r="98" spans="1:1" x14ac:dyDescent="0.25">
      <c r="A98" s="98" t="s">
        <v>261</v>
      </c>
    </row>
    <row r="99" spans="1:1" x14ac:dyDescent="0.25">
      <c r="A99" s="98" t="s">
        <v>262</v>
      </c>
    </row>
    <row r="100" spans="1:1" x14ac:dyDescent="0.25">
      <c r="A100" s="98" t="s">
        <v>263</v>
      </c>
    </row>
    <row r="101" spans="1:1" x14ac:dyDescent="0.25">
      <c r="A101" s="98" t="s">
        <v>264</v>
      </c>
    </row>
    <row r="102" spans="1:1" x14ac:dyDescent="0.25">
      <c r="A102" s="98" t="s">
        <v>265</v>
      </c>
    </row>
    <row r="103" spans="1:1" x14ac:dyDescent="0.25">
      <c r="A103" s="98" t="s">
        <v>266</v>
      </c>
    </row>
    <row r="104" spans="1:1" x14ac:dyDescent="0.25">
      <c r="A104" s="98" t="s">
        <v>267</v>
      </c>
    </row>
    <row r="105" spans="1:1" x14ac:dyDescent="0.25">
      <c r="A105" s="98" t="s">
        <v>268</v>
      </c>
    </row>
    <row r="106" spans="1:1" x14ac:dyDescent="0.25">
      <c r="A106" s="98" t="s">
        <v>269</v>
      </c>
    </row>
    <row r="107" spans="1:1" x14ac:dyDescent="0.25">
      <c r="A107" s="98" t="s">
        <v>270</v>
      </c>
    </row>
    <row r="108" spans="1:1" x14ac:dyDescent="0.25">
      <c r="A108" s="98" t="s">
        <v>271</v>
      </c>
    </row>
    <row r="109" spans="1:1" x14ac:dyDescent="0.25">
      <c r="A109" s="98" t="s">
        <v>272</v>
      </c>
    </row>
    <row r="110" spans="1:1" x14ac:dyDescent="0.25">
      <c r="A110" s="98" t="s">
        <v>273</v>
      </c>
    </row>
    <row r="111" spans="1:1" x14ac:dyDescent="0.25">
      <c r="A111" s="98" t="s">
        <v>274</v>
      </c>
    </row>
    <row r="112" spans="1:1" x14ac:dyDescent="0.25">
      <c r="A112" s="98" t="s">
        <v>275</v>
      </c>
    </row>
    <row r="113" spans="1:1" x14ac:dyDescent="0.25">
      <c r="A113" s="98" t="s">
        <v>276</v>
      </c>
    </row>
    <row r="114" spans="1:1" x14ac:dyDescent="0.25">
      <c r="A114" s="98" t="s">
        <v>277</v>
      </c>
    </row>
    <row r="115" spans="1:1" x14ac:dyDescent="0.25">
      <c r="A115" s="98" t="s">
        <v>278</v>
      </c>
    </row>
    <row r="116" spans="1:1" x14ac:dyDescent="0.25">
      <c r="A116" s="98" t="s">
        <v>279</v>
      </c>
    </row>
    <row r="117" spans="1:1" x14ac:dyDescent="0.25">
      <c r="A117" s="98" t="s">
        <v>280</v>
      </c>
    </row>
    <row r="118" spans="1:1" x14ac:dyDescent="0.25">
      <c r="A118" s="98" t="s">
        <v>281</v>
      </c>
    </row>
    <row r="119" spans="1:1" x14ac:dyDescent="0.25">
      <c r="A119" s="98" t="s">
        <v>282</v>
      </c>
    </row>
    <row r="120" spans="1:1" x14ac:dyDescent="0.25">
      <c r="A120" s="98" t="s">
        <v>283</v>
      </c>
    </row>
    <row r="121" spans="1:1" x14ac:dyDescent="0.25">
      <c r="A121" s="98" t="s">
        <v>284</v>
      </c>
    </row>
    <row r="122" spans="1:1" x14ac:dyDescent="0.25">
      <c r="A122" s="98" t="s">
        <v>285</v>
      </c>
    </row>
    <row r="123" spans="1:1" x14ac:dyDescent="0.25">
      <c r="A123" s="98" t="s">
        <v>286</v>
      </c>
    </row>
    <row r="124" spans="1:1" x14ac:dyDescent="0.25">
      <c r="A124" s="98" t="s">
        <v>287</v>
      </c>
    </row>
    <row r="125" spans="1:1" x14ac:dyDescent="0.25">
      <c r="A125" s="98" t="s">
        <v>288</v>
      </c>
    </row>
    <row r="126" spans="1:1" x14ac:dyDescent="0.25">
      <c r="A126" s="98" t="s">
        <v>289</v>
      </c>
    </row>
    <row r="127" spans="1:1" x14ac:dyDescent="0.25">
      <c r="A127" s="98" t="s">
        <v>290</v>
      </c>
    </row>
    <row r="128" spans="1:1" x14ac:dyDescent="0.25">
      <c r="A128" s="98" t="s">
        <v>291</v>
      </c>
    </row>
    <row r="129" spans="1:1" x14ac:dyDescent="0.25">
      <c r="A129" s="98" t="s">
        <v>292</v>
      </c>
    </row>
    <row r="130" spans="1:1" x14ac:dyDescent="0.25">
      <c r="A130" s="98" t="s">
        <v>293</v>
      </c>
    </row>
    <row r="131" spans="1:1" x14ac:dyDescent="0.25">
      <c r="A131" s="98" t="s">
        <v>294</v>
      </c>
    </row>
    <row r="132" spans="1:1" x14ac:dyDescent="0.25">
      <c r="A132" s="98" t="s">
        <v>295</v>
      </c>
    </row>
    <row r="133" spans="1:1" x14ac:dyDescent="0.25">
      <c r="A133" s="98" t="s">
        <v>296</v>
      </c>
    </row>
    <row r="134" spans="1:1" x14ac:dyDescent="0.25">
      <c r="A134" s="98" t="s">
        <v>297</v>
      </c>
    </row>
    <row r="135" spans="1:1" x14ac:dyDescent="0.25">
      <c r="A135" s="98" t="s">
        <v>298</v>
      </c>
    </row>
    <row r="136" spans="1:1" x14ac:dyDescent="0.25">
      <c r="A136" s="98" t="s">
        <v>299</v>
      </c>
    </row>
    <row r="137" spans="1:1" x14ac:dyDescent="0.25">
      <c r="A137" s="98" t="s">
        <v>300</v>
      </c>
    </row>
    <row r="138" spans="1:1" x14ac:dyDescent="0.25">
      <c r="A138" s="98" t="s">
        <v>301</v>
      </c>
    </row>
    <row r="139" spans="1:1" x14ac:dyDescent="0.25">
      <c r="A139" s="98" t="s">
        <v>302</v>
      </c>
    </row>
    <row r="140" spans="1:1" x14ac:dyDescent="0.25">
      <c r="A140" s="98" t="s">
        <v>303</v>
      </c>
    </row>
    <row r="141" spans="1:1" x14ac:dyDescent="0.25">
      <c r="A141" s="98" t="s">
        <v>304</v>
      </c>
    </row>
    <row r="142" spans="1:1" x14ac:dyDescent="0.25">
      <c r="A142" s="98" t="s">
        <v>305</v>
      </c>
    </row>
    <row r="143" spans="1:1" x14ac:dyDescent="0.25">
      <c r="A143" s="98" t="s">
        <v>306</v>
      </c>
    </row>
    <row r="144" spans="1:1" x14ac:dyDescent="0.25">
      <c r="A144" s="98" t="s">
        <v>307</v>
      </c>
    </row>
    <row r="145" spans="1:1" x14ac:dyDescent="0.25">
      <c r="A145" s="98" t="s">
        <v>308</v>
      </c>
    </row>
    <row r="146" spans="1:1" x14ac:dyDescent="0.25">
      <c r="A146" s="98" t="s">
        <v>309</v>
      </c>
    </row>
    <row r="147" spans="1:1" x14ac:dyDescent="0.25">
      <c r="A147" s="98" t="s">
        <v>310</v>
      </c>
    </row>
    <row r="148" spans="1:1" x14ac:dyDescent="0.25">
      <c r="A148" s="98" t="s">
        <v>311</v>
      </c>
    </row>
    <row r="149" spans="1:1" x14ac:dyDescent="0.25">
      <c r="A149" s="98" t="s">
        <v>312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S34"/>
  <sheetViews>
    <sheetView tabSelected="1" view="pageBreakPreview" topLeftCell="C1" zoomScale="115" zoomScaleNormal="130" zoomScaleSheetLayoutView="115" workbookViewId="0">
      <selection activeCell="V18" sqref="V18"/>
    </sheetView>
  </sheetViews>
  <sheetFormatPr defaultColWidth="9.140625" defaultRowHeight="12.75" x14ac:dyDescent="0.2"/>
  <cols>
    <col min="1" max="1" width="1.85546875" style="6" customWidth="1"/>
    <col min="2" max="2" width="14.7109375" style="21" customWidth="1"/>
    <col min="3" max="3" width="9.140625" style="6" customWidth="1"/>
    <col min="4" max="5" width="7" style="6" customWidth="1"/>
    <col min="6" max="6" width="7.140625" style="6" customWidth="1"/>
    <col min="7" max="7" width="6.140625" style="6" customWidth="1"/>
    <col min="8" max="8" width="6.42578125" style="6" customWidth="1"/>
    <col min="9" max="9" width="8.28515625" style="6" customWidth="1"/>
    <col min="10" max="10" width="7.85546875" style="6" customWidth="1"/>
    <col min="11" max="13" width="6.85546875" style="6" customWidth="1"/>
    <col min="14" max="14" width="5.7109375" style="6" customWidth="1"/>
    <col min="15" max="15" width="7.7109375" style="6" customWidth="1"/>
    <col min="16" max="16" width="6.42578125" style="6" customWidth="1"/>
    <col min="17" max="17" width="6" style="6" customWidth="1"/>
    <col min="18" max="18" width="10" style="6" customWidth="1"/>
    <col min="19" max="19" width="10.85546875" style="6" hidden="1" customWidth="1"/>
    <col min="20" max="16384" width="9.140625" style="6"/>
  </cols>
  <sheetData>
    <row r="1" spans="2:19" ht="19.5" customHeight="1" thickBot="1" x14ac:dyDescent="0.25">
      <c r="B1" s="105" t="s">
        <v>46</v>
      </c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</row>
    <row r="2" spans="2:19" ht="20.100000000000001" customHeight="1" x14ac:dyDescent="0.2">
      <c r="B2" s="106" t="s">
        <v>21</v>
      </c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8"/>
    </row>
    <row r="3" spans="2:19" ht="18" customHeight="1" x14ac:dyDescent="0.2">
      <c r="B3" s="109" t="s">
        <v>150</v>
      </c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10"/>
      <c r="R3" s="111"/>
    </row>
    <row r="4" spans="2:19" ht="20.25" customHeight="1" thickBot="1" x14ac:dyDescent="0.25">
      <c r="B4" s="112" t="str">
        <f xml:space="preserve"> "NAME :   "  &amp; UPPER(Entry!B7) &amp; "                                        DESIGNATION   : " &amp; UPPER(Entry!B8) &amp; "                         DEPARTMENT : "  &amp; UPPER(Entry!B9)</f>
        <v>NAME :   DR. P. RAJESH                                        DESIGNATION   : ASSISTANT PROFESSOR                         DEPARTMENT : COMPUTER SCIENCE</v>
      </c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113"/>
      <c r="P4" s="113"/>
      <c r="Q4" s="113"/>
      <c r="R4" s="114"/>
    </row>
    <row r="5" spans="2:19" ht="17.25" customHeight="1" thickBot="1" x14ac:dyDescent="0.25">
      <c r="B5" s="7"/>
      <c r="C5" s="115" t="s">
        <v>22</v>
      </c>
      <c r="D5" s="116"/>
      <c r="E5" s="116"/>
      <c r="F5" s="116"/>
      <c r="G5" s="116"/>
      <c r="H5" s="116"/>
      <c r="I5" s="117"/>
      <c r="J5" s="116" t="s">
        <v>23</v>
      </c>
      <c r="K5" s="116"/>
      <c r="L5" s="116"/>
      <c r="M5" s="116"/>
      <c r="N5" s="116"/>
      <c r="O5" s="116"/>
      <c r="P5" s="116"/>
      <c r="Q5" s="118"/>
      <c r="R5" s="108" t="s">
        <v>24</v>
      </c>
      <c r="S5" s="127" t="s">
        <v>141</v>
      </c>
    </row>
    <row r="6" spans="2:19" ht="13.5" customHeight="1" thickBot="1" x14ac:dyDescent="0.25">
      <c r="B6" s="119" t="s">
        <v>25</v>
      </c>
      <c r="C6" s="122" t="s">
        <v>26</v>
      </c>
      <c r="D6" s="122" t="s">
        <v>27</v>
      </c>
      <c r="E6" s="122" t="s">
        <v>28</v>
      </c>
      <c r="F6" s="122" t="s">
        <v>29</v>
      </c>
      <c r="G6" s="122" t="s">
        <v>30</v>
      </c>
      <c r="H6" s="124" t="s">
        <v>31</v>
      </c>
      <c r="I6" s="124" t="s">
        <v>32</v>
      </c>
      <c r="J6" s="124" t="s">
        <v>33</v>
      </c>
      <c r="K6" s="124" t="s">
        <v>10</v>
      </c>
      <c r="L6" s="124" t="s">
        <v>34</v>
      </c>
      <c r="M6" s="124" t="s">
        <v>35</v>
      </c>
      <c r="N6" s="124" t="s">
        <v>36</v>
      </c>
      <c r="O6" s="124" t="s">
        <v>37</v>
      </c>
      <c r="P6" s="124" t="s">
        <v>38</v>
      </c>
      <c r="Q6" s="124" t="s">
        <v>39</v>
      </c>
      <c r="R6" s="111"/>
      <c r="S6" s="127"/>
    </row>
    <row r="7" spans="2:19" ht="18.75" customHeight="1" x14ac:dyDescent="0.2">
      <c r="B7" s="120"/>
      <c r="C7" s="123"/>
      <c r="D7" s="123"/>
      <c r="E7" s="123"/>
      <c r="F7" s="123"/>
      <c r="G7" s="123"/>
      <c r="H7" s="125"/>
      <c r="I7" s="126"/>
      <c r="J7" s="125"/>
      <c r="K7" s="126"/>
      <c r="L7" s="126"/>
      <c r="M7" s="126"/>
      <c r="N7" s="126"/>
      <c r="O7" s="126"/>
      <c r="P7" s="126"/>
      <c r="Q7" s="126"/>
      <c r="R7" s="111"/>
      <c r="S7" s="127"/>
    </row>
    <row r="8" spans="2:19" ht="13.5" thickBot="1" x14ac:dyDescent="0.25">
      <c r="B8" s="121"/>
      <c r="C8" s="78" t="s">
        <v>40</v>
      </c>
      <c r="D8" s="78" t="s">
        <v>40</v>
      </c>
      <c r="E8" s="78" t="s">
        <v>40</v>
      </c>
      <c r="F8" s="78" t="s">
        <v>40</v>
      </c>
      <c r="G8" s="78" t="s">
        <v>40</v>
      </c>
      <c r="H8" s="78" t="s">
        <v>40</v>
      </c>
      <c r="I8" s="78" t="s">
        <v>40</v>
      </c>
      <c r="J8" s="78" t="s">
        <v>40</v>
      </c>
      <c r="K8" s="78" t="s">
        <v>40</v>
      </c>
      <c r="L8" s="78" t="s">
        <v>40</v>
      </c>
      <c r="M8" s="78" t="s">
        <v>40</v>
      </c>
      <c r="N8" s="78" t="s">
        <v>40</v>
      </c>
      <c r="O8" s="78" t="s">
        <v>40</v>
      </c>
      <c r="P8" s="78" t="s">
        <v>40</v>
      </c>
      <c r="Q8" s="78" t="s">
        <v>40</v>
      </c>
      <c r="R8" s="78" t="s">
        <v>40</v>
      </c>
      <c r="S8" s="127"/>
    </row>
    <row r="9" spans="2:19" s="8" customFormat="1" ht="18" customHeight="1" thickBot="1" x14ac:dyDescent="0.3">
      <c r="B9" s="77">
        <v>44256</v>
      </c>
      <c r="C9" s="79">
        <f>Entry!B14</f>
        <v>82200</v>
      </c>
      <c r="D9" s="79">
        <f>ROUND(C9*0.17,0)</f>
        <v>13974</v>
      </c>
      <c r="E9" s="79">
        <f>Entry!B17</f>
        <v>3200</v>
      </c>
      <c r="F9" s="79">
        <f>Entry!B22</f>
        <v>0</v>
      </c>
      <c r="G9" s="79">
        <f>Entry!B20</f>
        <v>300</v>
      </c>
      <c r="H9" s="79">
        <f>Entry!B23</f>
        <v>0</v>
      </c>
      <c r="I9" s="79">
        <f>SUM(C9:H9)</f>
        <v>99674</v>
      </c>
      <c r="J9" s="79">
        <v>9617</v>
      </c>
      <c r="K9" s="79">
        <f>Entry!B19</f>
        <v>70</v>
      </c>
      <c r="L9" s="79">
        <f>Entry!B18</f>
        <v>70</v>
      </c>
      <c r="M9" s="79">
        <f>Entry!B21</f>
        <v>0</v>
      </c>
      <c r="N9" s="79">
        <f>Entry!B24</f>
        <v>0</v>
      </c>
      <c r="O9" s="79">
        <v>5000</v>
      </c>
      <c r="P9" s="79">
        <f>ROUND(O9*0.04,0)</f>
        <v>200</v>
      </c>
      <c r="Q9" s="79"/>
      <c r="R9" s="79">
        <f t="shared" ref="R9:R20" si="0">(I9-SUM(J9:Q9))</f>
        <v>84717</v>
      </c>
      <c r="S9" s="85" t="str">
        <f>IF(AND(Entry!B4="Old",Entry!B32="Yes",Entry!B33=3),ROUND(('Pay Details'!I9/31)*1,0),"0")</f>
        <v>0</v>
      </c>
    </row>
    <row r="10" spans="2:19" s="8" customFormat="1" ht="18" customHeight="1" thickBot="1" x14ac:dyDescent="0.3">
      <c r="B10" s="77">
        <v>44287</v>
      </c>
      <c r="C10" s="79">
        <f>IF(Entry!B15=4,CEILING(((C9*3/100)-49),100)+C9,C9)</f>
        <v>84700</v>
      </c>
      <c r="D10" s="79">
        <f t="shared" ref="D10:D18" si="1">ROUND(C10*0.17,0)</f>
        <v>14399</v>
      </c>
      <c r="E10" s="79">
        <f>E9</f>
        <v>3200</v>
      </c>
      <c r="F10" s="79">
        <f>F9</f>
        <v>0</v>
      </c>
      <c r="G10" s="79">
        <f>G9</f>
        <v>300</v>
      </c>
      <c r="H10" s="79">
        <f>H9</f>
        <v>0</v>
      </c>
      <c r="I10" s="79">
        <f t="shared" ref="I10:I20" si="2">SUM(C10:H10)</f>
        <v>102599</v>
      </c>
      <c r="J10" s="79">
        <v>9910</v>
      </c>
      <c r="K10" s="79">
        <f t="shared" ref="K10:O10" si="3">K9</f>
        <v>70</v>
      </c>
      <c r="L10" s="79">
        <f t="shared" si="3"/>
        <v>70</v>
      </c>
      <c r="M10" s="79">
        <f t="shared" si="3"/>
        <v>0</v>
      </c>
      <c r="N10" s="79">
        <f t="shared" si="3"/>
        <v>0</v>
      </c>
      <c r="O10" s="79">
        <f t="shared" si="3"/>
        <v>5000</v>
      </c>
      <c r="P10" s="79">
        <f t="shared" ref="P10:P19" si="4">ROUND(O10*0.04,0)</f>
        <v>200</v>
      </c>
      <c r="Q10" s="79"/>
      <c r="R10" s="79">
        <f t="shared" si="0"/>
        <v>87349</v>
      </c>
      <c r="S10" s="85" t="str">
        <f>IF(AND(Entry!B4="Old",Entry!B32="Yes",Entry!B33=4),ROUND('Pay Details'!I10/30*1,0),"0")</f>
        <v>0</v>
      </c>
    </row>
    <row r="11" spans="2:19" s="8" customFormat="1" ht="18" customHeight="1" thickBot="1" x14ac:dyDescent="0.3">
      <c r="B11" s="77">
        <v>44317</v>
      </c>
      <c r="C11" s="79">
        <f>C10</f>
        <v>84700</v>
      </c>
      <c r="D11" s="79">
        <f t="shared" si="1"/>
        <v>14399</v>
      </c>
      <c r="E11" s="79">
        <f t="shared" ref="E11:E20" si="5">E10</f>
        <v>3200</v>
      </c>
      <c r="F11" s="79">
        <f t="shared" ref="F11:F20" si="6">F10</f>
        <v>0</v>
      </c>
      <c r="G11" s="79">
        <f t="shared" ref="G11:G20" si="7">G10</f>
        <v>300</v>
      </c>
      <c r="H11" s="79">
        <f t="shared" ref="H11:H20" si="8">H10</f>
        <v>0</v>
      </c>
      <c r="I11" s="79">
        <f t="shared" si="2"/>
        <v>102599</v>
      </c>
      <c r="J11" s="79">
        <v>9910</v>
      </c>
      <c r="K11" s="79">
        <f t="shared" ref="K11:K20" si="9">K10</f>
        <v>70</v>
      </c>
      <c r="L11" s="79">
        <f t="shared" ref="L11:L20" si="10">L10</f>
        <v>70</v>
      </c>
      <c r="M11" s="79">
        <f t="shared" ref="M11:M20" si="11">M10</f>
        <v>0</v>
      </c>
      <c r="N11" s="79">
        <f t="shared" ref="N11:N20" si="12">N10</f>
        <v>0</v>
      </c>
      <c r="O11" s="79">
        <f t="shared" ref="O11:O19" si="13">O10</f>
        <v>5000</v>
      </c>
      <c r="P11" s="79">
        <f t="shared" si="4"/>
        <v>200</v>
      </c>
      <c r="Q11" s="79"/>
      <c r="R11" s="79">
        <f t="shared" si="0"/>
        <v>87349</v>
      </c>
      <c r="S11" s="85" t="str">
        <f>IF(AND(Entry!B4="Old",Entry!B32="Yes",Entry!B33=5),ROUND('Pay Details'!I11/31*1,0),"0")</f>
        <v>0</v>
      </c>
    </row>
    <row r="12" spans="2:19" s="8" customFormat="1" ht="18" customHeight="1" thickBot="1" x14ac:dyDescent="0.3">
      <c r="B12" s="77">
        <v>44348</v>
      </c>
      <c r="C12" s="79">
        <f>C10</f>
        <v>84700</v>
      </c>
      <c r="D12" s="79">
        <f t="shared" si="1"/>
        <v>14399</v>
      </c>
      <c r="E12" s="79">
        <f t="shared" si="5"/>
        <v>3200</v>
      </c>
      <c r="F12" s="79">
        <f t="shared" si="6"/>
        <v>0</v>
      </c>
      <c r="G12" s="79">
        <f t="shared" si="7"/>
        <v>300</v>
      </c>
      <c r="H12" s="79">
        <f t="shared" si="8"/>
        <v>0</v>
      </c>
      <c r="I12" s="79">
        <f t="shared" si="2"/>
        <v>102599</v>
      </c>
      <c r="J12" s="79">
        <v>9910</v>
      </c>
      <c r="K12" s="79">
        <f t="shared" si="9"/>
        <v>70</v>
      </c>
      <c r="L12" s="79">
        <f t="shared" si="10"/>
        <v>70</v>
      </c>
      <c r="M12" s="79">
        <f t="shared" si="11"/>
        <v>0</v>
      </c>
      <c r="N12" s="79">
        <f t="shared" si="12"/>
        <v>0</v>
      </c>
      <c r="O12" s="79">
        <f t="shared" si="13"/>
        <v>5000</v>
      </c>
      <c r="P12" s="79">
        <f t="shared" si="4"/>
        <v>200</v>
      </c>
      <c r="Q12" s="79"/>
      <c r="R12" s="79">
        <f t="shared" si="0"/>
        <v>87349</v>
      </c>
      <c r="S12" s="85">
        <f>IF(AND(Entry!B4="Old",Entry!B32="Yes",Entry!B33=6),ROUND('Pay Details'!I12/30*1,0),"0")</f>
        <v>3420</v>
      </c>
    </row>
    <row r="13" spans="2:19" s="8" customFormat="1" ht="18" customHeight="1" thickBot="1" x14ac:dyDescent="0.3">
      <c r="B13" s="77">
        <v>44378</v>
      </c>
      <c r="C13" s="79">
        <f>IF(Entry!B15=7,CEILING(((C12*3/100)-49),100)+C12,C12)</f>
        <v>84700</v>
      </c>
      <c r="D13" s="79">
        <f t="shared" si="1"/>
        <v>14399</v>
      </c>
      <c r="E13" s="79">
        <f t="shared" si="5"/>
        <v>3200</v>
      </c>
      <c r="F13" s="79">
        <f t="shared" si="6"/>
        <v>0</v>
      </c>
      <c r="G13" s="79">
        <f t="shared" si="7"/>
        <v>300</v>
      </c>
      <c r="H13" s="79">
        <f t="shared" si="8"/>
        <v>0</v>
      </c>
      <c r="I13" s="79">
        <f t="shared" si="2"/>
        <v>102599</v>
      </c>
      <c r="J13" s="79">
        <v>9910</v>
      </c>
      <c r="K13" s="79">
        <f t="shared" si="9"/>
        <v>70</v>
      </c>
      <c r="L13" s="79">
        <f t="shared" si="10"/>
        <v>70</v>
      </c>
      <c r="M13" s="79">
        <f t="shared" si="11"/>
        <v>0</v>
      </c>
      <c r="N13" s="79">
        <f t="shared" si="12"/>
        <v>0</v>
      </c>
      <c r="O13" s="79">
        <f t="shared" si="13"/>
        <v>5000</v>
      </c>
      <c r="P13" s="79">
        <f t="shared" si="4"/>
        <v>200</v>
      </c>
      <c r="Q13" s="79"/>
      <c r="R13" s="79">
        <f t="shared" si="0"/>
        <v>87349</v>
      </c>
      <c r="S13" s="85" t="str">
        <f>IF(AND(Entry!B4="Old",Entry!B32="Yes",Entry!B33=7),ROUND('Pay Details'!I13/31*1,0),"0")</f>
        <v>0</v>
      </c>
    </row>
    <row r="14" spans="2:19" s="8" customFormat="1" ht="18" customHeight="1" thickBot="1" x14ac:dyDescent="0.3">
      <c r="B14" s="77">
        <v>44409</v>
      </c>
      <c r="C14" s="79">
        <f>C13</f>
        <v>84700</v>
      </c>
      <c r="D14" s="79">
        <f t="shared" si="1"/>
        <v>14399</v>
      </c>
      <c r="E14" s="79">
        <f t="shared" si="5"/>
        <v>3200</v>
      </c>
      <c r="F14" s="79">
        <f t="shared" si="6"/>
        <v>0</v>
      </c>
      <c r="G14" s="79">
        <f t="shared" si="7"/>
        <v>300</v>
      </c>
      <c r="H14" s="79">
        <f t="shared" si="8"/>
        <v>0</v>
      </c>
      <c r="I14" s="79">
        <f t="shared" si="2"/>
        <v>102599</v>
      </c>
      <c r="J14" s="79">
        <v>9910</v>
      </c>
      <c r="K14" s="79">
        <f t="shared" si="9"/>
        <v>70</v>
      </c>
      <c r="L14" s="79">
        <f t="shared" si="10"/>
        <v>70</v>
      </c>
      <c r="M14" s="79">
        <f t="shared" si="11"/>
        <v>0</v>
      </c>
      <c r="N14" s="79">
        <f t="shared" si="12"/>
        <v>0</v>
      </c>
      <c r="O14" s="79">
        <f t="shared" si="13"/>
        <v>5000</v>
      </c>
      <c r="P14" s="79">
        <f t="shared" si="4"/>
        <v>200</v>
      </c>
      <c r="Q14" s="79">
        <f>Entry!B29</f>
        <v>1250</v>
      </c>
      <c r="R14" s="79">
        <f t="shared" si="0"/>
        <v>86099</v>
      </c>
      <c r="S14" s="85" t="str">
        <f>IF(AND(Entry!B4="Old",Entry!B32="Yes",Entry!B33=8),ROUND('Pay Details'!I14/30*1,0),"0")</f>
        <v>0</v>
      </c>
    </row>
    <row r="15" spans="2:19" s="8" customFormat="1" ht="18" customHeight="1" thickBot="1" x14ac:dyDescent="0.3">
      <c r="B15" s="77">
        <v>44440</v>
      </c>
      <c r="C15" s="79">
        <f>C14</f>
        <v>84700</v>
      </c>
      <c r="D15" s="79">
        <f t="shared" si="1"/>
        <v>14399</v>
      </c>
      <c r="E15" s="79">
        <f t="shared" si="5"/>
        <v>3200</v>
      </c>
      <c r="F15" s="79">
        <f t="shared" si="6"/>
        <v>0</v>
      </c>
      <c r="G15" s="79">
        <f t="shared" si="7"/>
        <v>300</v>
      </c>
      <c r="H15" s="79">
        <f t="shared" si="8"/>
        <v>0</v>
      </c>
      <c r="I15" s="79">
        <f t="shared" si="2"/>
        <v>102599</v>
      </c>
      <c r="J15" s="79">
        <v>9910</v>
      </c>
      <c r="K15" s="79">
        <f t="shared" si="9"/>
        <v>70</v>
      </c>
      <c r="L15" s="79">
        <v>110</v>
      </c>
      <c r="M15" s="79">
        <f t="shared" si="11"/>
        <v>0</v>
      </c>
      <c r="N15" s="79">
        <f t="shared" si="12"/>
        <v>0</v>
      </c>
      <c r="O15" s="79">
        <f t="shared" si="13"/>
        <v>5000</v>
      </c>
      <c r="P15" s="79">
        <f t="shared" si="4"/>
        <v>200</v>
      </c>
      <c r="Q15" s="79"/>
      <c r="R15" s="79">
        <f t="shared" si="0"/>
        <v>87309</v>
      </c>
      <c r="S15" s="85" t="str">
        <f>IF(AND(Entry!B4="Old",Entry!B32="Yes",Entry!B33=9),ROUND('Pay Details'!I15/31*1,0),"0")</f>
        <v>0</v>
      </c>
    </row>
    <row r="16" spans="2:19" s="8" customFormat="1" ht="18" customHeight="1" thickBot="1" x14ac:dyDescent="0.3">
      <c r="B16" s="77">
        <v>44470</v>
      </c>
      <c r="C16" s="79">
        <f>IF(Entry!B15=10,CEILING(((C15*3/100)-49),100)+C15,C15)</f>
        <v>84700</v>
      </c>
      <c r="D16" s="79">
        <f t="shared" si="1"/>
        <v>14399</v>
      </c>
      <c r="E16" s="79">
        <f t="shared" si="5"/>
        <v>3200</v>
      </c>
      <c r="F16" s="79">
        <f t="shared" si="6"/>
        <v>0</v>
      </c>
      <c r="G16" s="79">
        <f t="shared" si="7"/>
        <v>300</v>
      </c>
      <c r="H16" s="79">
        <f t="shared" si="8"/>
        <v>0</v>
      </c>
      <c r="I16" s="79">
        <f t="shared" si="2"/>
        <v>102599</v>
      </c>
      <c r="J16" s="79">
        <v>9910</v>
      </c>
      <c r="K16" s="79">
        <f t="shared" si="9"/>
        <v>70</v>
      </c>
      <c r="L16" s="79">
        <f t="shared" si="10"/>
        <v>110</v>
      </c>
      <c r="M16" s="79">
        <f t="shared" si="11"/>
        <v>0</v>
      </c>
      <c r="N16" s="79">
        <f t="shared" si="12"/>
        <v>0</v>
      </c>
      <c r="O16" s="79">
        <f t="shared" si="13"/>
        <v>5000</v>
      </c>
      <c r="P16" s="79">
        <f t="shared" si="4"/>
        <v>200</v>
      </c>
      <c r="Q16" s="79"/>
      <c r="R16" s="79">
        <f t="shared" si="0"/>
        <v>87309</v>
      </c>
      <c r="S16" s="85" t="str">
        <f>IF(AND(Entry!B4="Old",Entry!B32="Yes",Entry!B33=10),ROUND('Pay Details'!I16/30*1,0),"0")</f>
        <v>0</v>
      </c>
    </row>
    <row r="17" spans="2:19" s="8" customFormat="1" ht="18" customHeight="1" thickBot="1" x14ac:dyDescent="0.3">
      <c r="B17" s="77">
        <v>44501</v>
      </c>
      <c r="C17" s="79">
        <f>C16</f>
        <v>84700</v>
      </c>
      <c r="D17" s="79">
        <f t="shared" si="1"/>
        <v>14399</v>
      </c>
      <c r="E17" s="79">
        <f t="shared" si="5"/>
        <v>3200</v>
      </c>
      <c r="F17" s="79">
        <f t="shared" si="6"/>
        <v>0</v>
      </c>
      <c r="G17" s="79">
        <f t="shared" si="7"/>
        <v>300</v>
      </c>
      <c r="H17" s="79">
        <f t="shared" si="8"/>
        <v>0</v>
      </c>
      <c r="I17" s="79">
        <f t="shared" si="2"/>
        <v>102599</v>
      </c>
      <c r="J17" s="79">
        <v>9910</v>
      </c>
      <c r="K17" s="79">
        <f t="shared" si="9"/>
        <v>70</v>
      </c>
      <c r="L17" s="79">
        <f t="shared" si="10"/>
        <v>110</v>
      </c>
      <c r="M17" s="79">
        <f t="shared" si="11"/>
        <v>0</v>
      </c>
      <c r="N17" s="79">
        <f t="shared" si="12"/>
        <v>0</v>
      </c>
      <c r="O17" s="79">
        <f t="shared" si="13"/>
        <v>5000</v>
      </c>
      <c r="P17" s="79">
        <f t="shared" si="4"/>
        <v>200</v>
      </c>
      <c r="Q17" s="79"/>
      <c r="R17" s="79">
        <f t="shared" si="0"/>
        <v>87309</v>
      </c>
      <c r="S17" s="85" t="str">
        <f>IF(AND(Entry!B4="Old",Entry!B32="Yes",Entry!B33=11),ROUND('Pay Details'!I17/31*1,0),"0")</f>
        <v>0</v>
      </c>
    </row>
    <row r="18" spans="2:19" s="8" customFormat="1" ht="18" customHeight="1" thickBot="1" x14ac:dyDescent="0.3">
      <c r="B18" s="77">
        <v>44531</v>
      </c>
      <c r="C18" s="79">
        <f>C16</f>
        <v>84700</v>
      </c>
      <c r="D18" s="79">
        <f t="shared" si="1"/>
        <v>14399</v>
      </c>
      <c r="E18" s="79">
        <f t="shared" si="5"/>
        <v>3200</v>
      </c>
      <c r="F18" s="79">
        <f t="shared" si="6"/>
        <v>0</v>
      </c>
      <c r="G18" s="79">
        <f t="shared" si="7"/>
        <v>300</v>
      </c>
      <c r="H18" s="79">
        <f t="shared" si="8"/>
        <v>0</v>
      </c>
      <c r="I18" s="79">
        <f t="shared" si="2"/>
        <v>102599</v>
      </c>
      <c r="J18" s="79">
        <v>9910</v>
      </c>
      <c r="K18" s="79">
        <f t="shared" si="9"/>
        <v>70</v>
      </c>
      <c r="L18" s="79">
        <f t="shared" si="10"/>
        <v>110</v>
      </c>
      <c r="M18" s="79">
        <f t="shared" si="11"/>
        <v>0</v>
      </c>
      <c r="N18" s="79">
        <f t="shared" si="12"/>
        <v>0</v>
      </c>
      <c r="O18" s="79">
        <f t="shared" si="13"/>
        <v>5000</v>
      </c>
      <c r="P18" s="79">
        <f t="shared" si="4"/>
        <v>200</v>
      </c>
      <c r="Q18" s="79"/>
      <c r="R18" s="79">
        <f t="shared" si="0"/>
        <v>87309</v>
      </c>
      <c r="S18" s="85" t="str">
        <f>IF(AND(Entry!B4="Old",Entry!B32="Yes",Entry!B33=12),ROUND('Pay Details'!I18/30*1,0),"0")</f>
        <v>0</v>
      </c>
    </row>
    <row r="19" spans="2:19" s="8" customFormat="1" ht="18" customHeight="1" thickBot="1" x14ac:dyDescent="0.3">
      <c r="B19" s="77">
        <v>44562</v>
      </c>
      <c r="C19" s="79">
        <f>IF(Entry!B15=1,CEILING(((C18*3/100)-49),100)+C18,C18)</f>
        <v>84700</v>
      </c>
      <c r="D19" s="79">
        <f>ROUND(C19*0.31,0)</f>
        <v>26257</v>
      </c>
      <c r="E19" s="79">
        <f t="shared" si="5"/>
        <v>3200</v>
      </c>
      <c r="F19" s="79">
        <f t="shared" si="6"/>
        <v>0</v>
      </c>
      <c r="G19" s="79">
        <f t="shared" si="7"/>
        <v>300</v>
      </c>
      <c r="H19" s="79">
        <f t="shared" si="8"/>
        <v>0</v>
      </c>
      <c r="I19" s="79">
        <f t="shared" si="2"/>
        <v>114457</v>
      </c>
      <c r="J19" s="79">
        <v>11096</v>
      </c>
      <c r="K19" s="79">
        <f t="shared" si="9"/>
        <v>70</v>
      </c>
      <c r="L19" s="79">
        <f t="shared" si="10"/>
        <v>110</v>
      </c>
      <c r="M19" s="79">
        <f t="shared" si="11"/>
        <v>0</v>
      </c>
      <c r="N19" s="79">
        <f t="shared" si="12"/>
        <v>0</v>
      </c>
      <c r="O19" s="79">
        <f t="shared" si="13"/>
        <v>5000</v>
      </c>
      <c r="P19" s="79">
        <f t="shared" si="4"/>
        <v>200</v>
      </c>
      <c r="Q19" s="79">
        <f>Q14</f>
        <v>1250</v>
      </c>
      <c r="R19" s="79">
        <f t="shared" si="0"/>
        <v>96731</v>
      </c>
      <c r="S19" s="85" t="str">
        <f>IF(AND(Entry!B4="Old",Entry!B32="Yes",Entry!B33=1),ROUND('Pay Details'!I19/31*1,0),"0")</f>
        <v>0</v>
      </c>
    </row>
    <row r="20" spans="2:19" s="8" customFormat="1" ht="18" customHeight="1" thickBot="1" x14ac:dyDescent="0.3">
      <c r="B20" s="77">
        <v>44593</v>
      </c>
      <c r="C20" s="79">
        <f>C19</f>
        <v>84700</v>
      </c>
      <c r="D20" s="79">
        <f>ROUND(C20*0.31,0)</f>
        <v>26257</v>
      </c>
      <c r="E20" s="79">
        <f t="shared" si="5"/>
        <v>3200</v>
      </c>
      <c r="F20" s="79">
        <f t="shared" si="6"/>
        <v>0</v>
      </c>
      <c r="G20" s="79">
        <f t="shared" si="7"/>
        <v>300</v>
      </c>
      <c r="H20" s="79">
        <f t="shared" si="8"/>
        <v>0</v>
      </c>
      <c r="I20" s="79">
        <f t="shared" si="2"/>
        <v>114457</v>
      </c>
      <c r="J20" s="79">
        <v>11096</v>
      </c>
      <c r="K20" s="79">
        <f t="shared" si="9"/>
        <v>70</v>
      </c>
      <c r="L20" s="79">
        <f t="shared" si="10"/>
        <v>110</v>
      </c>
      <c r="M20" s="79">
        <f t="shared" si="11"/>
        <v>0</v>
      </c>
      <c r="N20" s="79">
        <f t="shared" si="12"/>
        <v>0</v>
      </c>
      <c r="O20" s="79"/>
      <c r="P20" s="79" t="str">
        <f>IF([1]Sheet1!S55&gt;0,[1]Sheet1!S55," ")</f>
        <v xml:space="preserve"> </v>
      </c>
      <c r="Q20" s="79"/>
      <c r="R20" s="79">
        <f t="shared" si="0"/>
        <v>103181</v>
      </c>
      <c r="S20" s="85" t="str">
        <f>IF(AND(Entry!B4="Old",Entry!B32="Yes",Entry!B33=2),ROUND('Pay Details'!I20/28*1,0),"0")</f>
        <v>0</v>
      </c>
    </row>
    <row r="21" spans="2:19" s="8" customFormat="1" ht="22.5" customHeight="1" thickBot="1" x14ac:dyDescent="0.3">
      <c r="B21" s="9" t="s">
        <v>41</v>
      </c>
      <c r="C21" s="92"/>
      <c r="D21" s="93"/>
      <c r="E21" s="93"/>
      <c r="F21" s="93"/>
      <c r="G21" s="93"/>
      <c r="H21" s="93"/>
      <c r="I21" s="94"/>
      <c r="J21" s="92"/>
      <c r="K21" s="93"/>
      <c r="L21" s="93"/>
      <c r="M21" s="93"/>
      <c r="N21" s="93"/>
      <c r="O21" s="93"/>
      <c r="P21" s="93"/>
      <c r="Q21" s="93"/>
      <c r="R21" s="94"/>
    </row>
    <row r="22" spans="2:19" s="8" customFormat="1" ht="22.5" customHeight="1" thickBot="1" x14ac:dyDescent="0.3">
      <c r="B22" s="97" t="s">
        <v>159</v>
      </c>
      <c r="C22" s="79">
        <f>Entry!B34</f>
        <v>0</v>
      </c>
      <c r="D22" s="79"/>
      <c r="E22" s="79"/>
      <c r="F22" s="79"/>
      <c r="G22" s="79"/>
      <c r="H22" s="79"/>
      <c r="I22" s="79"/>
      <c r="J22" s="79">
        <f>ROUND(C22*0.1,0)</f>
        <v>0</v>
      </c>
      <c r="K22" s="79"/>
      <c r="L22" s="79"/>
      <c r="M22" s="79"/>
      <c r="N22" s="79"/>
      <c r="O22" s="79"/>
      <c r="P22" s="79"/>
      <c r="Q22" s="79"/>
      <c r="R22" s="79"/>
    </row>
    <row r="23" spans="2:19" s="8" customFormat="1" ht="22.5" customHeight="1" thickBot="1" x14ac:dyDescent="0.3">
      <c r="B23" s="97" t="s">
        <v>163</v>
      </c>
      <c r="C23" s="79">
        <f>Entry!B31</f>
        <v>0</v>
      </c>
      <c r="D23" s="79"/>
      <c r="E23" s="79"/>
      <c r="F23" s="79"/>
      <c r="G23" s="79"/>
      <c r="H23" s="79"/>
      <c r="I23" s="79"/>
      <c r="J23" s="79"/>
      <c r="K23" s="79"/>
      <c r="L23" s="79"/>
      <c r="M23" s="79"/>
      <c r="N23" s="79"/>
      <c r="O23" s="79"/>
      <c r="P23" s="79"/>
      <c r="Q23" s="79"/>
      <c r="R23" s="79"/>
    </row>
    <row r="24" spans="2:19" s="8" customFormat="1" ht="24.95" customHeight="1" thickBot="1" x14ac:dyDescent="0.3">
      <c r="B24" s="97" t="s">
        <v>42</v>
      </c>
      <c r="C24" s="79"/>
      <c r="D24" s="79"/>
      <c r="E24" s="79"/>
      <c r="F24" s="79"/>
      <c r="G24" s="79"/>
      <c r="H24" s="79"/>
      <c r="I24" s="79"/>
      <c r="J24" s="79"/>
      <c r="K24" s="79"/>
      <c r="L24" s="79"/>
      <c r="M24" s="79">
        <v>0</v>
      </c>
      <c r="N24" s="79"/>
      <c r="O24" s="79"/>
      <c r="P24" s="79"/>
      <c r="Q24" s="79"/>
      <c r="R24" s="79"/>
    </row>
    <row r="25" spans="2:19" s="8" customFormat="1" ht="18" customHeight="1" thickBot="1" x14ac:dyDescent="0.3">
      <c r="B25" s="97" t="s">
        <v>43</v>
      </c>
      <c r="C25" s="79">
        <f>(SUM(C22:C24)+SUM(C9:C20))-C21</f>
        <v>1013900</v>
      </c>
      <c r="D25" s="79">
        <f t="shared" ref="D25:S25" si="14">(SUM(D22:D24)+SUM(D9:D20))-D21</f>
        <v>196079</v>
      </c>
      <c r="E25" s="79">
        <f t="shared" si="14"/>
        <v>38400</v>
      </c>
      <c r="F25" s="79">
        <f t="shared" si="14"/>
        <v>0</v>
      </c>
      <c r="G25" s="79">
        <f t="shared" si="14"/>
        <v>3600</v>
      </c>
      <c r="H25" s="79">
        <f t="shared" si="14"/>
        <v>0</v>
      </c>
      <c r="I25" s="79">
        <f t="shared" si="14"/>
        <v>1251979</v>
      </c>
      <c r="J25" s="79">
        <f t="shared" si="14"/>
        <v>120999</v>
      </c>
      <c r="K25" s="79">
        <f t="shared" si="14"/>
        <v>840</v>
      </c>
      <c r="L25" s="79">
        <f t="shared" si="14"/>
        <v>1080</v>
      </c>
      <c r="M25" s="79">
        <f t="shared" si="14"/>
        <v>0</v>
      </c>
      <c r="N25" s="79">
        <f t="shared" si="14"/>
        <v>0</v>
      </c>
      <c r="O25" s="79">
        <f t="shared" si="14"/>
        <v>55000</v>
      </c>
      <c r="P25" s="79">
        <f t="shared" si="14"/>
        <v>2200</v>
      </c>
      <c r="Q25" s="79">
        <f t="shared" si="14"/>
        <v>2500</v>
      </c>
      <c r="R25" s="79">
        <f t="shared" si="14"/>
        <v>1069360</v>
      </c>
      <c r="S25" s="79">
        <f t="shared" si="14"/>
        <v>3420</v>
      </c>
    </row>
    <row r="26" spans="2:19" s="8" customFormat="1" ht="18" customHeight="1" x14ac:dyDescent="0.25">
      <c r="B26" s="10"/>
      <c r="C26" s="83"/>
      <c r="D26" s="83"/>
      <c r="E26" s="83"/>
      <c r="F26" s="83"/>
      <c r="G26" s="83"/>
      <c r="H26" s="83"/>
      <c r="I26" s="83"/>
      <c r="J26" s="83"/>
      <c r="K26" s="83"/>
      <c r="L26" s="83"/>
      <c r="M26" s="83"/>
      <c r="N26" s="83"/>
      <c r="O26" s="83"/>
      <c r="P26" s="83"/>
      <c r="Q26" s="83"/>
      <c r="R26" s="83"/>
    </row>
    <row r="27" spans="2:19" s="8" customFormat="1" ht="18" customHeight="1" x14ac:dyDescent="0.25">
      <c r="B27" s="10"/>
      <c r="C27" s="83"/>
      <c r="D27" s="83"/>
      <c r="E27" s="83"/>
      <c r="F27" s="83"/>
      <c r="G27" s="83"/>
      <c r="H27" s="83"/>
      <c r="I27" s="83"/>
      <c r="J27" s="83"/>
      <c r="K27" s="83"/>
      <c r="L27" s="83"/>
      <c r="M27" s="83"/>
      <c r="N27" s="83"/>
      <c r="O27" s="83"/>
      <c r="P27" s="83"/>
      <c r="Q27" s="83"/>
      <c r="R27" s="83"/>
    </row>
    <row r="28" spans="2:19" s="8" customFormat="1" ht="18" customHeight="1" x14ac:dyDescent="0.25">
      <c r="B28" s="128" t="s">
        <v>134</v>
      </c>
      <c r="C28" s="128"/>
      <c r="D28" s="128"/>
      <c r="E28" s="84"/>
      <c r="F28" s="84"/>
      <c r="G28" s="129" t="s">
        <v>135</v>
      </c>
      <c r="H28" s="129"/>
      <c r="I28" s="129"/>
      <c r="J28" s="129"/>
      <c r="K28" s="84"/>
      <c r="L28" s="84"/>
      <c r="M28" s="129" t="s">
        <v>136</v>
      </c>
      <c r="N28" s="129"/>
      <c r="O28" s="129"/>
      <c r="P28" s="129"/>
      <c r="Q28" s="129"/>
      <c r="R28" s="84"/>
    </row>
    <row r="29" spans="2:19" s="8" customFormat="1" ht="18" customHeight="1" x14ac:dyDescent="0.25">
      <c r="B29" s="10" t="s">
        <v>137</v>
      </c>
      <c r="C29" s="83"/>
      <c r="D29" s="83"/>
      <c r="E29" s="83"/>
      <c r="F29" s="83"/>
      <c r="G29" s="83"/>
      <c r="H29" s="83"/>
      <c r="I29" s="83"/>
      <c r="J29" s="83"/>
      <c r="K29" s="83"/>
      <c r="L29" s="83"/>
      <c r="M29" s="83"/>
      <c r="N29" s="83"/>
      <c r="O29" s="83"/>
      <c r="P29" s="83"/>
      <c r="Q29" s="83"/>
      <c r="R29" s="83"/>
    </row>
    <row r="30" spans="2:19" s="8" customFormat="1" ht="18" customHeight="1" x14ac:dyDescent="0.25">
      <c r="B30" s="10" t="s">
        <v>146</v>
      </c>
      <c r="C30" s="83"/>
      <c r="D30" s="83"/>
      <c r="E30" s="83"/>
      <c r="F30" s="83"/>
      <c r="G30" s="83"/>
      <c r="H30" s="83"/>
      <c r="I30" s="83"/>
      <c r="J30" s="83"/>
      <c r="K30" s="83"/>
      <c r="L30" s="83"/>
      <c r="M30" s="83"/>
      <c r="N30" s="83"/>
      <c r="O30" s="83"/>
      <c r="P30" s="83"/>
      <c r="Q30" s="83"/>
      <c r="R30" s="83"/>
    </row>
    <row r="31" spans="2:19" s="8" customFormat="1" ht="18.75" customHeight="1" x14ac:dyDescent="0.25">
      <c r="C31" s="11"/>
      <c r="D31" s="12"/>
      <c r="E31" s="13"/>
      <c r="F31" s="11"/>
      <c r="H31" s="13"/>
      <c r="I31" s="12"/>
      <c r="J31" s="13"/>
      <c r="K31" s="13"/>
      <c r="L31" s="13"/>
      <c r="M31" s="13"/>
      <c r="N31" s="13"/>
      <c r="O31" s="13"/>
      <c r="P31" s="13"/>
      <c r="Q31" s="13"/>
    </row>
    <row r="32" spans="2:19" ht="17.100000000000001" hidden="1" customHeight="1" x14ac:dyDescent="0.2">
      <c r="B32" s="14" t="s">
        <v>44</v>
      </c>
      <c r="C32" s="15"/>
      <c r="D32" s="15"/>
      <c r="E32" s="15"/>
      <c r="F32" s="15"/>
      <c r="G32" s="15"/>
      <c r="H32" s="15"/>
      <c r="I32" s="16"/>
      <c r="J32" s="15" t="s">
        <v>45</v>
      </c>
      <c r="K32" s="17"/>
      <c r="L32" s="17"/>
      <c r="M32" s="17"/>
      <c r="N32" s="17"/>
      <c r="O32" s="17"/>
      <c r="P32" s="17"/>
      <c r="Q32" s="17"/>
    </row>
    <row r="33" spans="2:17" ht="17.100000000000001" hidden="1" customHeight="1" x14ac:dyDescent="0.2">
      <c r="B33" s="18" t="str">
        <f>"Date     :  " &amp; ([1]Sheet1!D39)</f>
        <v>Date     :  0</v>
      </c>
      <c r="C33" s="19"/>
      <c r="D33" s="19"/>
      <c r="E33" s="19"/>
      <c r="F33" s="19"/>
      <c r="G33" s="19"/>
      <c r="H33" s="19"/>
      <c r="I33" s="19"/>
      <c r="J33" s="19" t="str">
        <f>"Designation  :  " &amp; UPPER(Entry!B8)</f>
        <v>Designation  :  ASSISTANT PROFESSOR</v>
      </c>
      <c r="K33" s="20"/>
      <c r="L33" s="20"/>
      <c r="M33" s="20"/>
      <c r="N33" s="20"/>
      <c r="O33" s="20"/>
      <c r="P33" s="20"/>
      <c r="Q33" s="20"/>
    </row>
    <row r="34" spans="2:17" ht="17.100000000000001" customHeight="1" x14ac:dyDescent="0.2"/>
  </sheetData>
  <mergeCells count="27">
    <mergeCell ref="S5:S8"/>
    <mergeCell ref="B28:D28"/>
    <mergeCell ref="G28:J28"/>
    <mergeCell ref="M28:Q28"/>
    <mergeCell ref="O6:O7"/>
    <mergeCell ref="P6:P7"/>
    <mergeCell ref="Q6:Q7"/>
    <mergeCell ref="K6:K7"/>
    <mergeCell ref="L6:L7"/>
    <mergeCell ref="M6:M7"/>
    <mergeCell ref="N6:N7"/>
    <mergeCell ref="J6:J7"/>
    <mergeCell ref="B1:Q1"/>
    <mergeCell ref="B2:R2"/>
    <mergeCell ref="B3:R3"/>
    <mergeCell ref="B4:R4"/>
    <mergeCell ref="C5:I5"/>
    <mergeCell ref="J5:Q5"/>
    <mergeCell ref="R5:R7"/>
    <mergeCell ref="B6:B8"/>
    <mergeCell ref="C6:C7"/>
    <mergeCell ref="D6:D7"/>
    <mergeCell ref="E6:E7"/>
    <mergeCell ref="F6:F7"/>
    <mergeCell ref="G6:G7"/>
    <mergeCell ref="H6:H7"/>
    <mergeCell ref="I6:I7"/>
  </mergeCells>
  <printOptions horizontalCentered="1"/>
  <pageMargins left="0.19" right="0.2" top="0.37" bottom="0.25" header="0.31" footer="0.36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D84"/>
  <sheetViews>
    <sheetView zoomScale="160" zoomScaleNormal="160" workbookViewId="0">
      <selection activeCell="D31" sqref="D31"/>
    </sheetView>
  </sheetViews>
  <sheetFormatPr defaultColWidth="9.140625" defaultRowHeight="12.75" x14ac:dyDescent="0.2"/>
  <cols>
    <col min="1" max="1" width="1.7109375" style="6" customWidth="1"/>
    <col min="2" max="2" width="74" style="6" customWidth="1"/>
    <col min="3" max="3" width="4.85546875" style="6" customWidth="1"/>
    <col min="4" max="4" width="10.5703125" style="6" customWidth="1"/>
    <col min="5" max="16384" width="9.140625" style="6"/>
  </cols>
  <sheetData>
    <row r="1" spans="2:4" s="8" customFormat="1" ht="21" customHeight="1" thickBot="1" x14ac:dyDescent="0.3">
      <c r="B1" s="133" t="str">
        <f>Entry!A2</f>
        <v>Government Arts College, Chidambaram - 608102</v>
      </c>
      <c r="C1" s="134"/>
      <c r="D1" s="135"/>
    </row>
    <row r="2" spans="2:4" s="8" customFormat="1" ht="26.25" customHeight="1" thickBot="1" x14ac:dyDescent="0.3">
      <c r="B2" s="136" t="s">
        <v>151</v>
      </c>
      <c r="C2" s="137"/>
      <c r="D2" s="138"/>
    </row>
    <row r="3" spans="2:4" s="8" customFormat="1" ht="27.75" customHeight="1" thickBot="1" x14ac:dyDescent="0.3">
      <c r="B3" s="139" t="str">
        <f>"Name             :  "&amp;UPPER(Entry!B7)&amp;"                              Cell No. :  "&amp;UPPER(Entry!B12)</f>
        <v>Name             :  DR. P. RAJESH                              Cell No. :  9488027246</v>
      </c>
      <c r="C3" s="140"/>
      <c r="D3" s="141"/>
    </row>
    <row r="4" spans="2:4" s="8" customFormat="1" ht="18" customHeight="1" thickBot="1" x14ac:dyDescent="0.3">
      <c r="B4" s="142" t="str">
        <f>"Designation   :    "        &amp; UPPER(Entry!B8) &amp;"                    Department :     " &amp; UPPER(Entry!B9)</f>
        <v>Designation   :    ASSISTANT PROFESSOR                    Department :     COMPUTER SCIENCE</v>
      </c>
      <c r="C4" s="143"/>
      <c r="D4" s="144"/>
    </row>
    <row r="5" spans="2:4" s="8" customFormat="1" ht="18" customHeight="1" thickBot="1" x14ac:dyDescent="0.3">
      <c r="B5" s="139" t="str">
        <f>"PAN               :     "&amp;UPPER(Entry!B10)&amp;"                              TAN       :      "&amp;UPPER(Entry!B11)&amp;" "</f>
        <v xml:space="preserve">PAN               :     AKXPR2768K                              TAN       :      CHEG02615E </v>
      </c>
      <c r="C5" s="140"/>
      <c r="D5" s="141"/>
    </row>
    <row r="6" spans="2:4" s="8" customFormat="1" ht="17.100000000000001" customHeight="1" thickBot="1" x14ac:dyDescent="0.3">
      <c r="B6" s="22" t="s">
        <v>47</v>
      </c>
      <c r="C6" s="23" t="s">
        <v>48</v>
      </c>
      <c r="D6" s="24">
        <f>'Pay Details'!I25</f>
        <v>1251979</v>
      </c>
    </row>
    <row r="7" spans="2:4" s="8" customFormat="1" ht="17.100000000000001" customHeight="1" thickBot="1" x14ac:dyDescent="0.3">
      <c r="B7" s="22" t="s">
        <v>49</v>
      </c>
      <c r="C7" s="23"/>
      <c r="D7" s="24"/>
    </row>
    <row r="8" spans="2:4" s="8" customFormat="1" ht="17.100000000000001" customHeight="1" thickBot="1" x14ac:dyDescent="0.3">
      <c r="B8" s="25" t="str">
        <f>"               (a)  Actual rent paid  [Rs. " &amp; (Entry!B30) &amp; " x 12 months]"</f>
        <v xml:space="preserve">               (a)  Actual rent paid  [Rs.  x 12 months]</v>
      </c>
      <c r="C8" s="23" t="s">
        <v>48</v>
      </c>
      <c r="D8" s="26">
        <f>IF(Entry!B4="Old",(Entry!B30*12),"0")</f>
        <v>0</v>
      </c>
    </row>
    <row r="9" spans="2:4" s="8" customFormat="1" ht="17.100000000000001" customHeight="1" thickBot="1" x14ac:dyDescent="0.3">
      <c r="B9" s="25" t="s">
        <v>50</v>
      </c>
      <c r="C9" s="23" t="s">
        <v>48</v>
      </c>
      <c r="D9" s="26">
        <f>IF(AND(Entry!B4="Old",D8&gt;0),ROUND(SUM('Pay Details'!C9:D20)/10,0),0)</f>
        <v>0</v>
      </c>
    </row>
    <row r="10" spans="2:4" s="8" customFormat="1" ht="17.100000000000001" customHeight="1" thickBot="1" x14ac:dyDescent="0.3">
      <c r="B10" s="25" t="s">
        <v>51</v>
      </c>
      <c r="C10" s="23" t="s">
        <v>48</v>
      </c>
      <c r="D10" s="26" t="str">
        <f>IF(D8&gt;0, D8-D9," ")</f>
        <v xml:space="preserve"> </v>
      </c>
    </row>
    <row r="11" spans="2:4" s="8" customFormat="1" ht="17.100000000000001" customHeight="1" thickBot="1" x14ac:dyDescent="0.3">
      <c r="B11" s="25" t="s">
        <v>52</v>
      </c>
      <c r="C11" s="23" t="s">
        <v>48</v>
      </c>
      <c r="D11" s="26">
        <f>IF(AND(Entry!B4="Old",D8&gt;0),Entry!B17*12,0)</f>
        <v>0</v>
      </c>
    </row>
    <row r="12" spans="2:4" s="8" customFormat="1" ht="30" customHeight="1" thickBot="1" x14ac:dyDescent="0.3">
      <c r="B12" s="27" t="s">
        <v>53</v>
      </c>
      <c r="C12" s="28" t="s">
        <v>48</v>
      </c>
      <c r="D12" s="26">
        <v>0</v>
      </c>
    </row>
    <row r="13" spans="2:4" s="8" customFormat="1" ht="17.100000000000001" customHeight="1" thickBot="1" x14ac:dyDescent="0.3">
      <c r="B13" s="29" t="s">
        <v>54</v>
      </c>
      <c r="C13" s="28" t="s">
        <v>48</v>
      </c>
      <c r="D13" s="24">
        <f>IF(AND(Entry!B4="Old",D8&gt;0),MIN(D8:D12),0)</f>
        <v>0</v>
      </c>
    </row>
    <row r="14" spans="2:4" s="8" customFormat="1" ht="17.100000000000001" customHeight="1" thickBot="1" x14ac:dyDescent="0.3">
      <c r="B14" s="22" t="str">
        <f>"2.1. Less exempted Hill / conveyance Allowance [Rs." &amp; (Entry!B23) &amp; " x 12 months]"</f>
        <v>2.1. Less exempted Hill / conveyance Allowance [Rs. x 12 months]</v>
      </c>
      <c r="C14" s="23" t="s">
        <v>48</v>
      </c>
      <c r="D14" s="24"/>
    </row>
    <row r="15" spans="2:4" s="8" customFormat="1" ht="17.100000000000001" customHeight="1" thickBot="1" x14ac:dyDescent="0.3">
      <c r="B15" s="22" t="s">
        <v>55</v>
      </c>
      <c r="C15" s="23" t="s">
        <v>48</v>
      </c>
      <c r="D15" s="24">
        <f>D6-(D13+D14)</f>
        <v>1251979</v>
      </c>
    </row>
    <row r="16" spans="2:4" s="8" customFormat="1" ht="17.100000000000001" customHeight="1" thickBot="1" x14ac:dyDescent="0.3">
      <c r="B16" s="22" t="s">
        <v>56</v>
      </c>
      <c r="C16" s="23" t="s">
        <v>48</v>
      </c>
      <c r="D16" s="24" t="str">
        <f>IF(Entry!B4= "Old", "50000", "0")</f>
        <v>50000</v>
      </c>
    </row>
    <row r="17" spans="2:4" s="8" customFormat="1" ht="17.100000000000001" customHeight="1" thickBot="1" x14ac:dyDescent="0.3">
      <c r="B17" s="22" t="s">
        <v>57</v>
      </c>
      <c r="C17" s="23" t="s">
        <v>48</v>
      </c>
      <c r="D17" s="24">
        <f>IF(Entry!B4= "Old", 'Pay Details'!Q25, "0")</f>
        <v>2500</v>
      </c>
    </row>
    <row r="18" spans="2:4" s="8" customFormat="1" ht="17.100000000000001" customHeight="1" thickBot="1" x14ac:dyDescent="0.3">
      <c r="B18" s="22" t="s">
        <v>58</v>
      </c>
      <c r="C18" s="23" t="s">
        <v>48</v>
      </c>
      <c r="D18" s="24">
        <f>D15-D16-D17</f>
        <v>1199479</v>
      </c>
    </row>
    <row r="19" spans="2:4" s="8" customFormat="1" ht="30" customHeight="1" thickBot="1" x14ac:dyDescent="0.3">
      <c r="B19" s="30" t="s">
        <v>59</v>
      </c>
      <c r="C19" s="28" t="s">
        <v>48</v>
      </c>
      <c r="D19" s="24">
        <f>IF(Entry!B4="Old",IF(Entry!B26&gt;200000,"200000",Entry!B26),IF(Entry!B4="New","0","0"))</f>
        <v>120411</v>
      </c>
    </row>
    <row r="20" spans="2:4" s="8" customFormat="1" ht="17.100000000000001" customHeight="1" thickBot="1" x14ac:dyDescent="0.3">
      <c r="B20" s="31" t="s">
        <v>60</v>
      </c>
      <c r="C20" s="28" t="s">
        <v>48</v>
      </c>
      <c r="D20" s="24">
        <f>D18-D19</f>
        <v>1079068</v>
      </c>
    </row>
    <row r="21" spans="2:4" s="8" customFormat="1" ht="17.100000000000001" customHeight="1" thickBot="1" x14ac:dyDescent="0.3">
      <c r="B21" s="22" t="s">
        <v>61</v>
      </c>
      <c r="C21" s="23" t="s">
        <v>48</v>
      </c>
      <c r="D21" s="24">
        <f>'Pay Details'!I24</f>
        <v>0</v>
      </c>
    </row>
    <row r="22" spans="2:4" s="8" customFormat="1" ht="17.100000000000001" customHeight="1" thickBot="1" x14ac:dyDescent="0.3">
      <c r="B22" s="22" t="s">
        <v>62</v>
      </c>
      <c r="C22" s="23" t="s">
        <v>48</v>
      </c>
      <c r="D22" s="24">
        <f>D20+D21</f>
        <v>1079068</v>
      </c>
    </row>
    <row r="23" spans="2:4" s="8" customFormat="1" ht="17.100000000000001" customHeight="1" thickBot="1" x14ac:dyDescent="0.3">
      <c r="B23" s="22" t="s">
        <v>63</v>
      </c>
      <c r="C23" s="23"/>
      <c r="D23" s="24"/>
    </row>
    <row r="24" spans="2:4" s="8" customFormat="1" ht="17.100000000000001" customHeight="1" thickBot="1" x14ac:dyDescent="0.3">
      <c r="B24" s="25" t="s">
        <v>64</v>
      </c>
      <c r="C24" s="23"/>
      <c r="D24" s="24"/>
    </row>
    <row r="25" spans="2:4" s="8" customFormat="1" ht="15" customHeight="1" thickBot="1" x14ac:dyDescent="0.3">
      <c r="B25" s="25" t="s">
        <v>65</v>
      </c>
      <c r="C25" s="23" t="s">
        <v>48</v>
      </c>
      <c r="D25" s="26">
        <f>IF(AND(Entry!B4="OLD",'Pay Details'!J25&gt;50000),('Pay Details'!J25-50000),IF(Entry!B4="New",0))</f>
        <v>70999</v>
      </c>
    </row>
    <row r="26" spans="2:4" s="8" customFormat="1" ht="15" customHeight="1" thickBot="1" x14ac:dyDescent="0.3">
      <c r="B26" s="25" t="s">
        <v>66</v>
      </c>
      <c r="C26" s="23" t="s">
        <v>48</v>
      </c>
      <c r="D26" s="26">
        <f>IF(Entry!B4="OLD",('Pay Details'!K25+'Pay Details'!L25),0)</f>
        <v>1920</v>
      </c>
    </row>
    <row r="27" spans="2:4" s="8" customFormat="1" ht="15" customHeight="1" thickBot="1" x14ac:dyDescent="0.3">
      <c r="B27" s="25" t="s">
        <v>67</v>
      </c>
      <c r="C27" s="23" t="s">
        <v>48</v>
      </c>
      <c r="D27" s="26">
        <f>IF(Entry!B4="old",'PAGE 3'!F37,"0")</f>
        <v>0</v>
      </c>
    </row>
    <row r="28" spans="2:4" s="8" customFormat="1" ht="15" customHeight="1" thickBot="1" x14ac:dyDescent="0.3">
      <c r="B28" s="25" t="s">
        <v>68</v>
      </c>
      <c r="C28" s="23" t="s">
        <v>48</v>
      </c>
      <c r="D28" s="26">
        <f>IF(Entry!B4="old",'PAGE 3'!F25,0)</f>
        <v>0</v>
      </c>
    </row>
    <row r="29" spans="2:4" s="8" customFormat="1" ht="15" customHeight="1" thickBot="1" x14ac:dyDescent="0.3">
      <c r="B29" s="25" t="s">
        <v>69</v>
      </c>
      <c r="C29" s="23" t="s">
        <v>48</v>
      </c>
      <c r="D29" s="26">
        <f>IF(Entry!B4="old",'PAGE 3'!F13,0)</f>
        <v>0</v>
      </c>
    </row>
    <row r="30" spans="2:4" s="8" customFormat="1" ht="15" customHeight="1" thickBot="1" x14ac:dyDescent="0.3">
      <c r="B30" s="25" t="s">
        <v>70</v>
      </c>
      <c r="C30" s="23" t="s">
        <v>48</v>
      </c>
      <c r="D30" s="26">
        <v>0</v>
      </c>
    </row>
    <row r="31" spans="2:4" s="8" customFormat="1" ht="15" customHeight="1" thickBot="1" x14ac:dyDescent="0.3">
      <c r="B31" s="25" t="s">
        <v>71</v>
      </c>
      <c r="C31" s="23" t="s">
        <v>48</v>
      </c>
      <c r="D31" s="26" t="str">
        <f>IF(Entry!B4="Old",IF(Entry!B25&gt;100000,"100000",Entry!B25),IF(Entry!B4="New","0","0"))</f>
        <v>100000</v>
      </c>
    </row>
    <row r="32" spans="2:4" s="8" customFormat="1" ht="15" customHeight="1" thickBot="1" x14ac:dyDescent="0.3">
      <c r="B32" s="25" t="s">
        <v>72</v>
      </c>
      <c r="C32" s="23" t="s">
        <v>48</v>
      </c>
      <c r="D32" s="26">
        <v>32100</v>
      </c>
    </row>
    <row r="33" spans="2:4" s="8" customFormat="1" ht="15" customHeight="1" thickBot="1" x14ac:dyDescent="0.3">
      <c r="B33" s="25" t="s">
        <v>73</v>
      </c>
      <c r="C33" s="23" t="s">
        <v>48</v>
      </c>
      <c r="D33" s="26">
        <f>IF(Entry!B4="old",'PAGE 3'!F49,0)</f>
        <v>0</v>
      </c>
    </row>
    <row r="34" spans="2:4" s="8" customFormat="1" ht="17.100000000000001" customHeight="1" thickBot="1" x14ac:dyDescent="0.3">
      <c r="B34" s="25" t="s">
        <v>74</v>
      </c>
      <c r="C34" s="23" t="s">
        <v>48</v>
      </c>
      <c r="D34" s="26">
        <v>0</v>
      </c>
    </row>
    <row r="35" spans="2:4" s="8" customFormat="1" ht="17.100000000000001" customHeight="1" thickBot="1" x14ac:dyDescent="0.3">
      <c r="B35" s="25" t="s">
        <v>75</v>
      </c>
      <c r="C35" s="23" t="s">
        <v>48</v>
      </c>
      <c r="D35" s="26">
        <v>0</v>
      </c>
    </row>
    <row r="36" spans="2:4" s="8" customFormat="1" ht="14.25" customHeight="1" thickBot="1" x14ac:dyDescent="0.3">
      <c r="B36" s="32" t="s">
        <v>76</v>
      </c>
      <c r="C36" s="23" t="s">
        <v>48</v>
      </c>
      <c r="D36" s="26">
        <f>D25+D26+D31+D32</f>
        <v>205019</v>
      </c>
    </row>
    <row r="37" spans="2:4" s="8" customFormat="1" ht="14.25" customHeight="1" thickBot="1" x14ac:dyDescent="0.3">
      <c r="B37" s="32" t="s">
        <v>77</v>
      </c>
      <c r="C37" s="28" t="s">
        <v>48</v>
      </c>
      <c r="D37" s="33" t="str">
        <f>IF(AND(Entry!B4= "Old",D36&gt;150000),"150000",D36)</f>
        <v>150000</v>
      </c>
    </row>
    <row r="38" spans="2:4" s="8" customFormat="1" ht="14.25" customHeight="1" thickBot="1" x14ac:dyDescent="0.3">
      <c r="B38" s="32" t="s">
        <v>78</v>
      </c>
      <c r="C38" s="28" t="s">
        <v>48</v>
      </c>
      <c r="D38" s="33" t="str">
        <f>IF(Entry!B4="New","0",IF(Entry!B4="Old",IF(AND(Entry!B16="CPS",'Pay Details'!J25&gt;50000),"50000",'Pay Details'!J25)))</f>
        <v>50000</v>
      </c>
    </row>
    <row r="39" spans="2:4" s="8" customFormat="1" ht="27" customHeight="1" thickBot="1" x14ac:dyDescent="0.3">
      <c r="B39" s="22" t="s">
        <v>79</v>
      </c>
      <c r="C39" s="28" t="s">
        <v>48</v>
      </c>
      <c r="D39" s="34">
        <f>IF(Entry!B4="Old",'Pay Details'!M25,"0")</f>
        <v>0</v>
      </c>
    </row>
    <row r="40" spans="2:4" s="8" customFormat="1" ht="27" customHeight="1" thickBot="1" x14ac:dyDescent="0.3">
      <c r="B40" s="27" t="s">
        <v>80</v>
      </c>
      <c r="C40" s="28" t="s">
        <v>48</v>
      </c>
      <c r="D40" s="26">
        <v>0</v>
      </c>
    </row>
    <row r="41" spans="2:4" s="8" customFormat="1" ht="17.100000000000001" customHeight="1" thickBot="1" x14ac:dyDescent="0.3">
      <c r="B41" s="29" t="s">
        <v>81</v>
      </c>
      <c r="C41" s="28" t="s">
        <v>48</v>
      </c>
      <c r="D41" s="34">
        <f>IF(AND(Entry!B4="Old",Entry!B32="Yes"),'Pay Details'!S25,"0")</f>
        <v>3420</v>
      </c>
    </row>
    <row r="42" spans="2:4" s="8" customFormat="1" ht="26.25" customHeight="1" thickBot="1" x14ac:dyDescent="0.3">
      <c r="B42" s="27" t="s">
        <v>82</v>
      </c>
      <c r="C42" s="28" t="s">
        <v>48</v>
      </c>
      <c r="D42" s="26">
        <v>0</v>
      </c>
    </row>
    <row r="43" spans="2:4" s="8" customFormat="1" ht="17.100000000000001" customHeight="1" thickBot="1" x14ac:dyDescent="0.3">
      <c r="B43" s="29" t="s">
        <v>83</v>
      </c>
      <c r="C43" s="28" t="s">
        <v>48</v>
      </c>
      <c r="D43" s="26">
        <v>0</v>
      </c>
    </row>
    <row r="44" spans="2:4" s="8" customFormat="1" ht="17.100000000000001" customHeight="1" thickBot="1" x14ac:dyDescent="0.3">
      <c r="B44" s="22" t="s">
        <v>84</v>
      </c>
      <c r="C44" s="23" t="s">
        <v>48</v>
      </c>
      <c r="D44" s="24">
        <f>D37+D38+SUM(D39:D43)</f>
        <v>203420</v>
      </c>
    </row>
    <row r="45" spans="2:4" s="8" customFormat="1" ht="13.5" customHeight="1" thickBot="1" x14ac:dyDescent="0.3">
      <c r="B45" s="22" t="s">
        <v>85</v>
      </c>
      <c r="C45" s="23" t="s">
        <v>48</v>
      </c>
      <c r="D45" s="26">
        <f>D22-D44</f>
        <v>875648</v>
      </c>
    </row>
    <row r="46" spans="2:4" s="8" customFormat="1" ht="13.5" customHeight="1" thickBot="1" x14ac:dyDescent="0.3">
      <c r="B46" s="25" t="s">
        <v>86</v>
      </c>
      <c r="C46" s="23" t="s">
        <v>48</v>
      </c>
      <c r="D46" s="24">
        <f>IF(D45&gt;0,CEILING(D45-4,10),0)</f>
        <v>875650</v>
      </c>
    </row>
    <row r="47" spans="2:4" s="8" customFormat="1" ht="16.5" hidden="1" customHeight="1" x14ac:dyDescent="0.25"/>
    <row r="48" spans="2:4" s="8" customFormat="1" ht="16.5" hidden="1" customHeight="1" x14ac:dyDescent="0.25"/>
    <row r="49" spans="2:4" s="8" customFormat="1" hidden="1" x14ac:dyDescent="0.25"/>
    <row r="50" spans="2:4" s="8" customFormat="1" x14ac:dyDescent="0.25"/>
    <row r="51" spans="2:4" s="8" customFormat="1" x14ac:dyDescent="0.25">
      <c r="B51" s="145" t="s">
        <v>87</v>
      </c>
      <c r="C51" s="146"/>
      <c r="D51" s="146"/>
    </row>
    <row r="52" spans="2:4" s="8" customFormat="1" ht="0.75" customHeight="1" thickBot="1" x14ac:dyDescent="0.3"/>
    <row r="53" spans="2:4" s="8" customFormat="1" ht="17.100000000000001" customHeight="1" thickBot="1" x14ac:dyDescent="0.3">
      <c r="B53" s="31" t="s">
        <v>88</v>
      </c>
      <c r="C53" s="35"/>
      <c r="D53" s="36"/>
    </row>
    <row r="54" spans="2:4" s="8" customFormat="1" ht="17.100000000000001" customHeight="1" thickBot="1" x14ac:dyDescent="0.3">
      <c r="B54" s="25" t="str">
        <f>IF(Entry!B4="Old", "1. Income up to Rs. 2,50,000 (Nil Tax)","1. Income upto Rs. 2,50,000 (Nil Tax)")</f>
        <v>1. Income up to Rs. 2,50,000 (Nil Tax)</v>
      </c>
      <c r="C54" s="23" t="s">
        <v>48</v>
      </c>
      <c r="D54" s="37" t="str">
        <f>IF(AND(Entry!B4="New",D46&gt;=500000),"0",IF(AND(Entry!B4="Old",D46&gt;=250000),"0"))</f>
        <v>0</v>
      </c>
    </row>
    <row r="55" spans="2:4" s="8" customFormat="1" ht="17.100000000000001" customHeight="1" thickBot="1" x14ac:dyDescent="0.3">
      <c r="B55" s="25" t="str">
        <f>IF(Entry!B4="New","2. Rs. 2,50,000 to 5,00,000@ 5%"," ")</f>
        <v xml:space="preserve"> </v>
      </c>
      <c r="C55" s="23"/>
      <c r="D55" s="37" t="str">
        <f>IF(Entry!B4="Old","0",IF(Entry!B4="New",IF(D46&gt;250000,IF(D46&lt;=500000,(D46-250000)*0.05,"12500"))))</f>
        <v>0</v>
      </c>
    </row>
    <row r="56" spans="2:4" s="8" customFormat="1" ht="17.100000000000001" customHeight="1" thickBot="1" x14ac:dyDescent="0.3">
      <c r="B56" s="25" t="str">
        <f>IF(Entry!B4="Old","2. Rs. 2,50,000 to Rs. 5,00,000 @ 5%",IF(Entry!B4="New","3. Rs. 5,00,000 to Rs. 7,50,000 @ 10%"))</f>
        <v>2. Rs. 2,50,000 to Rs. 5,00,000 @ 5%</v>
      </c>
      <c r="C56" s="23" t="s">
        <v>48</v>
      </c>
      <c r="D56" s="37">
        <f>IF(Entry!B4="Old",IF(D46&gt;250000,IF(D46&lt;=500000,CEILING(((D46-250000)/20)-0.4,1),12500)," "),IF(Entry!B4="New",IF(D46&gt;500000,IF(D46&lt;=750000,(D46-500000)*0.1,"25000"))))</f>
        <v>12500</v>
      </c>
    </row>
    <row r="57" spans="2:4" s="8" customFormat="1" ht="16.5" thickBot="1" x14ac:dyDescent="0.3">
      <c r="B57" s="27" t="str">
        <f>IF(Entry!B4="Old", "3. Rs. 5,00,000 to Rs. 10,00,000 @ 20%","4. Rs. 7,50,000 to Rs. 10,00,000 @ 15%")</f>
        <v>3. Rs. 5,00,000 to Rs. 10,00,000 @ 20%</v>
      </c>
      <c r="C57" s="38" t="s">
        <v>48</v>
      </c>
      <c r="D57" s="37">
        <f>IF(Entry!B4="Old",IF(D46&gt;500000,IF(D46&lt;=1000000,ROUND((D46-500000)*0.2,0),100000),"0"),IF(Entry!B4="New",IF(D46&gt;750000,IF(D46&lt;=1000000,(D46-750000)*0.15,"37500"),IF(D46&lt;500000,"0","0"))))</f>
        <v>75130</v>
      </c>
    </row>
    <row r="58" spans="2:4" s="8" customFormat="1" ht="16.5" thickBot="1" x14ac:dyDescent="0.3">
      <c r="B58" s="29" t="str">
        <f>IF(Entry!B4="Old", "4. Income&gt; Rs. 10,00,000 @ 30%","5.  Rs. 10,00,000 to Rs. 12,50,000 @ 20%")</f>
        <v>4. Income&gt; Rs. 10,00,000 @ 30%</v>
      </c>
      <c r="C58" s="28" t="s">
        <v>48</v>
      </c>
      <c r="D58" s="37" t="str">
        <f>IF(Entry!B4="Old",IF(D46&gt;1000000,CEILING(((D46-1000000)*3/10)-0.4,1),"0"),IF(Entry!B4="New",IF(D46&gt;1000000,IF(D46&lt;=1250000,(D46-1000000)*0.2,"50000"),IF(D46&lt;1000000,"0"))))</f>
        <v>0</v>
      </c>
    </row>
    <row r="59" spans="2:4" s="8" customFormat="1" ht="16.5" thickBot="1" x14ac:dyDescent="0.3">
      <c r="B59" s="25" t="str">
        <f>IF(Entry!B4="Old", " ","6. Rs. 12,50,000 to Rs. 15,00,000 @ 25%")</f>
        <v xml:space="preserve"> </v>
      </c>
      <c r="C59" s="28" t="s">
        <v>48</v>
      </c>
      <c r="D59" s="37" t="str">
        <f>IF(D46&gt;1250000,IF(D46&lt;=1500000,(D46-1250000)*0.25,"62500"),IF(D46&gt;1250000,"0","0"))</f>
        <v>0</v>
      </c>
    </row>
    <row r="60" spans="2:4" s="8" customFormat="1" ht="16.5" thickBot="1" x14ac:dyDescent="0.3">
      <c r="B60" s="25" t="str">
        <f>IF(Entry!B4="Old", " ","7. Income &gt; Rs. 15,00,000 @ 30%")</f>
        <v xml:space="preserve"> </v>
      </c>
      <c r="C60" s="28" t="s">
        <v>48</v>
      </c>
      <c r="D60" s="37" t="str">
        <f>IF(D46&gt;1500000,(D46-1500000)*0.3,"0")</f>
        <v>0</v>
      </c>
    </row>
    <row r="61" spans="2:4" s="8" customFormat="1" ht="17.100000000000001" customHeight="1" thickBot="1" x14ac:dyDescent="0.3">
      <c r="B61" s="22" t="s">
        <v>89</v>
      </c>
      <c r="C61" s="28" t="s">
        <v>48</v>
      </c>
      <c r="D61" s="37">
        <f>IF(Entry!B4="Old",'PAGE 1 &amp; 2'!D54+'PAGE 1 &amp; 2'!D56+'PAGE 1 &amp; 2'!D57+'PAGE 1 &amp; 2'!D58,IF(Entry!B4="New",D54+D55+D56+D57+D58+D59+D60))</f>
        <v>87630</v>
      </c>
    </row>
    <row r="62" spans="2:4" s="8" customFormat="1" ht="32.25" customHeight="1" thickBot="1" x14ac:dyDescent="0.3">
      <c r="B62" s="30" t="s">
        <v>90</v>
      </c>
      <c r="C62" s="23" t="s">
        <v>48</v>
      </c>
      <c r="D62" s="37" t="str">
        <f>IF(AND(D46&lt;=500000,Entry!B4="old"),"12500","0")</f>
        <v>0</v>
      </c>
    </row>
    <row r="63" spans="2:4" s="8" customFormat="1" ht="17.100000000000001" customHeight="1" thickBot="1" x14ac:dyDescent="0.3">
      <c r="B63" s="31" t="s">
        <v>91</v>
      </c>
      <c r="C63" s="23" t="s">
        <v>48</v>
      </c>
      <c r="D63" s="37">
        <f>IF(D46&lt;=500000,"0",D61)</f>
        <v>87630</v>
      </c>
    </row>
    <row r="64" spans="2:4" s="8" customFormat="1" ht="17.100000000000001" customHeight="1" thickBot="1" x14ac:dyDescent="0.25">
      <c r="B64" s="39" t="s">
        <v>92</v>
      </c>
      <c r="C64" s="23" t="s">
        <v>48</v>
      </c>
      <c r="D64" s="37">
        <f>ROUND(D63*0.04,0)</f>
        <v>3505</v>
      </c>
    </row>
    <row r="65" spans="2:4" s="8" customFormat="1" ht="17.100000000000001" customHeight="1" thickBot="1" x14ac:dyDescent="0.3">
      <c r="B65" s="22" t="s">
        <v>93</v>
      </c>
      <c r="C65" s="23" t="s">
        <v>48</v>
      </c>
      <c r="D65" s="80">
        <f>D63+D64</f>
        <v>91135</v>
      </c>
    </row>
    <row r="66" spans="2:4" s="8" customFormat="1" ht="17.100000000000001" customHeight="1" thickBot="1" x14ac:dyDescent="0.3">
      <c r="B66" s="22" t="s">
        <v>152</v>
      </c>
      <c r="C66" s="23" t="s">
        <v>48</v>
      </c>
      <c r="D66" s="37">
        <f>'Pay Details'!O25+'Pay Details'!P25</f>
        <v>57200</v>
      </c>
    </row>
    <row r="67" spans="2:4" s="8" customFormat="1" ht="17.100000000000001" customHeight="1" thickBot="1" x14ac:dyDescent="0.3">
      <c r="B67" s="22" t="s">
        <v>94</v>
      </c>
      <c r="C67" s="23" t="s">
        <v>48</v>
      </c>
      <c r="D67" s="37"/>
    </row>
    <row r="68" spans="2:4" s="8" customFormat="1" ht="17.100000000000001" customHeight="1" thickBot="1" x14ac:dyDescent="0.3">
      <c r="B68" s="22" t="s">
        <v>153</v>
      </c>
      <c r="C68" s="23" t="s">
        <v>48</v>
      </c>
      <c r="D68" s="81">
        <f>D69+D70</f>
        <v>33935</v>
      </c>
    </row>
    <row r="69" spans="2:4" s="8" customFormat="1" ht="17.100000000000001" customHeight="1" thickBot="1" x14ac:dyDescent="0.3">
      <c r="B69" s="22" t="s">
        <v>154</v>
      </c>
      <c r="C69" s="23" t="s">
        <v>48</v>
      </c>
      <c r="D69" s="37">
        <f>IF(D65&lt;D66+D67,"0",ROUND(((D65-D66)/104)*100,0))</f>
        <v>32630</v>
      </c>
    </row>
    <row r="70" spans="2:4" s="8" customFormat="1" ht="17.100000000000001" customHeight="1" thickBot="1" x14ac:dyDescent="0.3">
      <c r="B70" s="22" t="s">
        <v>155</v>
      </c>
      <c r="C70" s="23"/>
      <c r="D70" s="37">
        <f>IF(D65&lt;D66+D67,"0",ROUND(((D65-D66)/104)*4,0))</f>
        <v>1305</v>
      </c>
    </row>
    <row r="71" spans="2:4" s="8" customFormat="1" ht="17.100000000000001" customHeight="1" thickBot="1" x14ac:dyDescent="0.3">
      <c r="B71" s="22" t="s">
        <v>129</v>
      </c>
      <c r="C71" s="23" t="s">
        <v>48</v>
      </c>
      <c r="D71" s="37" t="str">
        <f>IF(D65&lt;D66+D67,D66+D67-D65,"0")</f>
        <v>0</v>
      </c>
    </row>
    <row r="72" spans="2:4" ht="2.25" customHeight="1" x14ac:dyDescent="0.2">
      <c r="B72" s="40"/>
      <c r="C72" s="41"/>
      <c r="D72" s="42"/>
    </row>
    <row r="73" spans="2:4" ht="17.100000000000001" customHeight="1" thickBot="1" x14ac:dyDescent="0.25">
      <c r="B73" s="43"/>
      <c r="C73" s="44"/>
      <c r="D73" s="45"/>
    </row>
    <row r="74" spans="2:4" ht="24.95" customHeight="1" thickBot="1" x14ac:dyDescent="0.3">
      <c r="B74" s="46" t="s">
        <v>130</v>
      </c>
      <c r="C74" s="47"/>
      <c r="D74" s="48"/>
    </row>
    <row r="75" spans="2:4" ht="39.950000000000003" customHeight="1" thickBot="1" x14ac:dyDescent="0.25">
      <c r="B75" s="147" t="s">
        <v>131</v>
      </c>
      <c r="C75" s="148"/>
      <c r="D75" s="149"/>
    </row>
    <row r="76" spans="2:4" ht="39.950000000000003" customHeight="1" thickBot="1" x14ac:dyDescent="0.25">
      <c r="B76" s="130" t="str">
        <f>"                     ii.  Certified that I am occupying rental house and paying monthly rent of Rs."  &amp; ([1]Sheet1!D34) &amp; " p.m."</f>
        <v xml:space="preserve">                     ii.  Certified that I am occupying rental house and paying monthly rent of Rs.0 p.m.</v>
      </c>
      <c r="C76" s="131"/>
      <c r="D76" s="132"/>
    </row>
    <row r="77" spans="2:4" ht="39.950000000000003" customHeight="1" thickBot="1" x14ac:dyDescent="0.25">
      <c r="B77" s="130" t="s">
        <v>95</v>
      </c>
      <c r="C77" s="131"/>
      <c r="D77" s="132"/>
    </row>
    <row r="78" spans="2:4" ht="39.950000000000003" customHeight="1" thickBot="1" x14ac:dyDescent="0.25">
      <c r="B78" s="130" t="s">
        <v>96</v>
      </c>
      <c r="C78" s="131"/>
      <c r="D78" s="132"/>
    </row>
    <row r="79" spans="2:4" ht="80.099999999999994" customHeight="1" thickBot="1" x14ac:dyDescent="0.25">
      <c r="B79" s="150" t="s">
        <v>97</v>
      </c>
      <c r="C79" s="151"/>
      <c r="D79" s="152"/>
    </row>
    <row r="80" spans="2:4" ht="39.950000000000003" customHeight="1" thickBot="1" x14ac:dyDescent="0.25">
      <c r="B80" s="130" t="s">
        <v>98</v>
      </c>
      <c r="C80" s="131"/>
      <c r="D80" s="132"/>
    </row>
    <row r="81" spans="2:2" ht="22.5" customHeight="1" x14ac:dyDescent="0.2"/>
    <row r="82" spans="2:2" x14ac:dyDescent="0.2">
      <c r="B82" s="49" t="str">
        <f>"                                                                                   Name                :   " &amp; UPPER(Entry!B7)</f>
        <v xml:space="preserve">                                                                                   Name                :   DR. P. RAJESH</v>
      </c>
    </row>
    <row r="83" spans="2:2" ht="16.5" customHeight="1" x14ac:dyDescent="0.2">
      <c r="B83" s="49" t="s">
        <v>148</v>
      </c>
    </row>
    <row r="84" spans="2:2" ht="17.25" customHeight="1" x14ac:dyDescent="0.2">
      <c r="B84" s="50" t="str">
        <f>"Date       :                                                                  Designation      :   " &amp; UPPER(Entry!B8)</f>
        <v>Date       :                                                                  Designation      :   ASSISTANT PROFESSOR</v>
      </c>
    </row>
  </sheetData>
  <mergeCells count="12">
    <mergeCell ref="B80:D80"/>
    <mergeCell ref="B1:D1"/>
    <mergeCell ref="B2:D2"/>
    <mergeCell ref="B3:D3"/>
    <mergeCell ref="B4:D4"/>
    <mergeCell ref="B5:D5"/>
    <mergeCell ref="B51:D51"/>
    <mergeCell ref="B75:D75"/>
    <mergeCell ref="B76:D76"/>
    <mergeCell ref="B77:D77"/>
    <mergeCell ref="B78:D78"/>
    <mergeCell ref="B79:D79"/>
  </mergeCells>
  <pageMargins left="0.47" right="0.35" top="0.36" bottom="0.25" header="0.28999999999999998" footer="0.15"/>
  <pageSetup paperSize="9" scale="99" orientation="portrait" r:id="rId1"/>
  <rowBreaks count="1" manualBreakCount="1">
    <brk id="49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J53"/>
  <sheetViews>
    <sheetView workbookViewId="0">
      <selection activeCell="F24" sqref="F24"/>
    </sheetView>
  </sheetViews>
  <sheetFormatPr defaultColWidth="9.140625" defaultRowHeight="12.75" x14ac:dyDescent="0.2"/>
  <cols>
    <col min="1" max="1" width="2.28515625" style="6" customWidth="1"/>
    <col min="2" max="2" width="17" style="6" customWidth="1"/>
    <col min="3" max="3" width="25.5703125" style="6" customWidth="1"/>
    <col min="4" max="5" width="16.85546875" style="6" customWidth="1"/>
    <col min="6" max="6" width="18.5703125" style="6" customWidth="1"/>
    <col min="7" max="16384" width="9.140625" style="6"/>
  </cols>
  <sheetData>
    <row r="1" spans="2:10" x14ac:dyDescent="0.2">
      <c r="B1" s="156" t="s">
        <v>99</v>
      </c>
      <c r="C1" s="156"/>
      <c r="D1" s="156"/>
      <c r="E1" s="156"/>
      <c r="F1" s="156"/>
    </row>
    <row r="3" spans="2:10" ht="17.100000000000001" customHeight="1" x14ac:dyDescent="0.2">
      <c r="B3" s="51" t="s">
        <v>156</v>
      </c>
      <c r="C3" s="52"/>
      <c r="D3" s="52"/>
      <c r="E3" s="52"/>
      <c r="F3" s="52"/>
      <c r="G3" s="53"/>
      <c r="H3" s="53"/>
      <c r="I3" s="53"/>
      <c r="J3" s="53"/>
    </row>
    <row r="4" spans="2:10" ht="9.9499999999999993" customHeight="1" x14ac:dyDescent="0.2">
      <c r="B4" s="54"/>
      <c r="C4" s="52"/>
      <c r="D4" s="52"/>
      <c r="E4" s="52"/>
      <c r="F4" s="52"/>
      <c r="G4" s="53"/>
      <c r="H4" s="53"/>
      <c r="I4" s="53"/>
      <c r="J4" s="53"/>
    </row>
    <row r="5" spans="2:10" ht="17.100000000000001" customHeight="1" x14ac:dyDescent="0.2">
      <c r="B5" s="55" t="s">
        <v>100</v>
      </c>
      <c r="C5" s="52"/>
      <c r="D5" s="52"/>
      <c r="E5" s="52"/>
      <c r="F5" s="52"/>
      <c r="G5" s="53"/>
      <c r="H5" s="53"/>
      <c r="I5" s="53"/>
      <c r="J5" s="53"/>
    </row>
    <row r="6" spans="2:10" ht="9.9499999999999993" customHeight="1" thickBot="1" x14ac:dyDescent="0.25">
      <c r="B6" s="54"/>
      <c r="C6" s="52"/>
      <c r="D6" s="52"/>
      <c r="E6" s="52"/>
      <c r="F6" s="52"/>
      <c r="G6" s="53"/>
      <c r="H6" s="53"/>
      <c r="I6" s="53"/>
      <c r="J6" s="53"/>
    </row>
    <row r="7" spans="2:10" ht="17.100000000000001" customHeight="1" x14ac:dyDescent="0.2">
      <c r="B7" s="157" t="s">
        <v>101</v>
      </c>
      <c r="C7" s="157" t="s">
        <v>102</v>
      </c>
      <c r="D7" s="157" t="s">
        <v>103</v>
      </c>
      <c r="E7" s="56" t="s">
        <v>104</v>
      </c>
      <c r="F7" s="56" t="s">
        <v>105</v>
      </c>
      <c r="G7" s="53"/>
      <c r="H7" s="53"/>
      <c r="I7" s="53"/>
      <c r="J7" s="53"/>
    </row>
    <row r="8" spans="2:10" ht="12" customHeight="1" thickBot="1" x14ac:dyDescent="0.25">
      <c r="B8" s="158"/>
      <c r="C8" s="158"/>
      <c r="D8" s="158"/>
      <c r="E8" s="57" t="s">
        <v>40</v>
      </c>
      <c r="F8" s="57" t="s">
        <v>40</v>
      </c>
      <c r="G8" s="53"/>
      <c r="H8" s="53"/>
      <c r="I8" s="53"/>
      <c r="J8" s="53"/>
    </row>
    <row r="9" spans="2:10" ht="17.100000000000001" customHeight="1" thickBot="1" x14ac:dyDescent="0.25">
      <c r="B9" s="58"/>
      <c r="C9" s="59"/>
      <c r="D9" s="59"/>
      <c r="E9" s="59"/>
      <c r="F9" s="59"/>
      <c r="G9" s="53"/>
      <c r="H9" s="53"/>
      <c r="I9" s="53"/>
      <c r="J9" s="53"/>
    </row>
    <row r="10" spans="2:10" ht="17.100000000000001" customHeight="1" thickBot="1" x14ac:dyDescent="0.25">
      <c r="B10" s="58"/>
      <c r="C10" s="59"/>
      <c r="D10" s="59"/>
      <c r="E10" s="59"/>
      <c r="F10" s="59"/>
      <c r="G10" s="53"/>
      <c r="H10" s="53"/>
      <c r="I10" s="53"/>
      <c r="J10" s="53"/>
    </row>
    <row r="11" spans="2:10" ht="17.100000000000001" customHeight="1" thickBot="1" x14ac:dyDescent="0.25">
      <c r="B11" s="58"/>
      <c r="C11" s="59"/>
      <c r="D11" s="59"/>
      <c r="E11" s="59"/>
      <c r="F11" s="59"/>
      <c r="G11" s="53"/>
      <c r="H11" s="53"/>
      <c r="I11" s="53"/>
      <c r="J11" s="53"/>
    </row>
    <row r="12" spans="2:10" ht="17.100000000000001" customHeight="1" thickBot="1" x14ac:dyDescent="0.25">
      <c r="B12" s="58"/>
      <c r="C12" s="59"/>
      <c r="D12" s="59"/>
      <c r="E12" s="59"/>
      <c r="F12" s="59"/>
      <c r="G12" s="53"/>
      <c r="H12" s="53"/>
      <c r="I12" s="53"/>
      <c r="J12" s="53"/>
    </row>
    <row r="13" spans="2:10" ht="17.100000000000001" customHeight="1" thickBot="1" x14ac:dyDescent="0.25">
      <c r="B13" s="153" t="s">
        <v>43</v>
      </c>
      <c r="C13" s="159"/>
      <c r="D13" s="159"/>
      <c r="E13" s="160"/>
      <c r="F13" s="59">
        <f>SUM(F9:F12)</f>
        <v>0</v>
      </c>
      <c r="G13" s="53"/>
      <c r="H13" s="53"/>
      <c r="I13" s="53"/>
      <c r="J13" s="53"/>
    </row>
    <row r="14" spans="2:10" ht="9.9499999999999993" customHeight="1" x14ac:dyDescent="0.2">
      <c r="B14" s="54"/>
      <c r="C14" s="52"/>
      <c r="D14" s="52"/>
      <c r="E14" s="52"/>
      <c r="F14" s="52"/>
      <c r="G14" s="53"/>
      <c r="H14" s="53"/>
      <c r="I14" s="53"/>
      <c r="J14" s="53"/>
    </row>
    <row r="15" spans="2:10" ht="17.100000000000001" customHeight="1" x14ac:dyDescent="0.2">
      <c r="B15" s="51" t="s">
        <v>106</v>
      </c>
      <c r="C15" s="52"/>
      <c r="D15" s="52"/>
      <c r="E15" s="52"/>
      <c r="F15" s="52"/>
      <c r="G15" s="53"/>
      <c r="H15" s="53"/>
      <c r="I15" s="53"/>
      <c r="J15" s="53"/>
    </row>
    <row r="16" spans="2:10" ht="9.9499999999999993" customHeight="1" x14ac:dyDescent="0.2">
      <c r="B16" s="55"/>
      <c r="C16" s="52"/>
      <c r="D16" s="52"/>
      <c r="E16" s="52"/>
      <c r="F16" s="52"/>
      <c r="G16" s="53"/>
      <c r="H16" s="53"/>
      <c r="I16" s="53"/>
      <c r="J16" s="53"/>
    </row>
    <row r="17" spans="2:10" ht="17.100000000000001" customHeight="1" x14ac:dyDescent="0.2">
      <c r="B17" s="55" t="s">
        <v>107</v>
      </c>
      <c r="C17" s="52"/>
      <c r="D17" s="52"/>
      <c r="E17" s="52"/>
      <c r="F17" s="52"/>
      <c r="G17" s="53"/>
      <c r="H17" s="53"/>
      <c r="I17" s="53"/>
      <c r="J17" s="53"/>
    </row>
    <row r="18" spans="2:10" ht="9.9499999999999993" customHeight="1" thickBot="1" x14ac:dyDescent="0.25">
      <c r="B18" s="60"/>
      <c r="C18" s="52"/>
      <c r="D18" s="52"/>
      <c r="E18" s="52"/>
      <c r="F18" s="52"/>
      <c r="G18" s="53"/>
      <c r="H18" s="53"/>
      <c r="I18" s="53"/>
      <c r="J18" s="53"/>
    </row>
    <row r="19" spans="2:10" ht="17.100000000000001" customHeight="1" x14ac:dyDescent="0.2">
      <c r="B19" s="157" t="s">
        <v>108</v>
      </c>
      <c r="C19" s="157" t="s">
        <v>102</v>
      </c>
      <c r="D19" s="157" t="s">
        <v>109</v>
      </c>
      <c r="E19" s="56" t="s">
        <v>110</v>
      </c>
      <c r="F19" s="56" t="s">
        <v>105</v>
      </c>
      <c r="G19" s="53"/>
      <c r="H19" s="53"/>
      <c r="I19" s="53"/>
      <c r="J19" s="53"/>
    </row>
    <row r="20" spans="2:10" ht="14.25" customHeight="1" thickBot="1" x14ac:dyDescent="0.25">
      <c r="B20" s="158"/>
      <c r="C20" s="158"/>
      <c r="D20" s="158"/>
      <c r="E20" s="57" t="s">
        <v>40</v>
      </c>
      <c r="F20" s="57" t="s">
        <v>111</v>
      </c>
      <c r="G20" s="53"/>
      <c r="H20" s="53"/>
      <c r="I20" s="53"/>
      <c r="J20" s="53"/>
    </row>
    <row r="21" spans="2:10" ht="17.100000000000001" customHeight="1" thickBot="1" x14ac:dyDescent="0.25">
      <c r="B21" s="61"/>
      <c r="C21" s="62"/>
      <c r="D21" s="62"/>
      <c r="E21" s="62"/>
      <c r="F21" s="62"/>
      <c r="G21" s="53"/>
      <c r="H21" s="53"/>
      <c r="I21" s="53"/>
      <c r="J21" s="53"/>
    </row>
    <row r="22" spans="2:10" ht="17.100000000000001" customHeight="1" thickBot="1" x14ac:dyDescent="0.25">
      <c r="B22" s="61"/>
      <c r="C22" s="62"/>
      <c r="D22" s="62"/>
      <c r="E22" s="62"/>
      <c r="F22" s="62"/>
      <c r="G22" s="53"/>
      <c r="H22" s="53"/>
      <c r="I22" s="53"/>
      <c r="J22" s="53"/>
    </row>
    <row r="23" spans="2:10" ht="17.100000000000001" customHeight="1" thickBot="1" x14ac:dyDescent="0.25">
      <c r="B23" s="61"/>
      <c r="C23" s="62"/>
      <c r="D23" s="62"/>
      <c r="E23" s="62"/>
      <c r="F23" s="62" t="s">
        <v>112</v>
      </c>
      <c r="G23" s="53"/>
      <c r="H23" s="53"/>
      <c r="I23" s="53"/>
      <c r="J23" s="53"/>
    </row>
    <row r="24" spans="2:10" ht="17.100000000000001" customHeight="1" thickBot="1" x14ac:dyDescent="0.25">
      <c r="B24" s="61"/>
      <c r="C24" s="62"/>
      <c r="D24" s="62"/>
      <c r="E24" s="62"/>
      <c r="F24" s="62"/>
      <c r="G24" s="53"/>
      <c r="H24" s="53"/>
      <c r="I24" s="53"/>
      <c r="J24" s="53"/>
    </row>
    <row r="25" spans="2:10" ht="17.100000000000001" customHeight="1" thickBot="1" x14ac:dyDescent="0.25">
      <c r="B25" s="153" t="s">
        <v>113</v>
      </c>
      <c r="C25" s="159"/>
      <c r="D25" s="159"/>
      <c r="E25" s="160"/>
      <c r="F25" s="63">
        <f>SUM(F21:F24)</f>
        <v>0</v>
      </c>
      <c r="G25" s="53"/>
      <c r="H25" s="53"/>
      <c r="I25" s="53"/>
      <c r="J25" s="53"/>
    </row>
    <row r="26" spans="2:10" ht="9.9499999999999993" customHeight="1" x14ac:dyDescent="0.2">
      <c r="B26" s="64"/>
      <c r="C26" s="52"/>
      <c r="D26" s="52"/>
      <c r="E26" s="52"/>
      <c r="F26" s="52"/>
      <c r="G26" s="53"/>
      <c r="H26" s="53"/>
      <c r="I26" s="53"/>
      <c r="J26" s="53"/>
    </row>
    <row r="27" spans="2:10" ht="17.100000000000001" customHeight="1" x14ac:dyDescent="0.2">
      <c r="B27" s="51" t="s">
        <v>114</v>
      </c>
      <c r="C27" s="52"/>
      <c r="D27" s="52"/>
      <c r="E27" s="52"/>
      <c r="F27" s="52"/>
      <c r="G27" s="53"/>
      <c r="H27" s="53"/>
      <c r="I27" s="53"/>
      <c r="J27" s="53"/>
    </row>
    <row r="28" spans="2:10" ht="9.9499999999999993" customHeight="1" x14ac:dyDescent="0.2">
      <c r="B28" s="65"/>
      <c r="C28" s="52"/>
      <c r="D28" s="52"/>
      <c r="E28" s="52"/>
      <c r="F28" s="52"/>
      <c r="G28" s="53"/>
      <c r="H28" s="53"/>
      <c r="I28" s="53"/>
      <c r="J28" s="53"/>
    </row>
    <row r="29" spans="2:10" ht="17.100000000000001" customHeight="1" x14ac:dyDescent="0.2">
      <c r="B29" s="55" t="s">
        <v>115</v>
      </c>
      <c r="C29" s="52"/>
      <c r="D29" s="52"/>
      <c r="E29" s="52"/>
      <c r="F29" s="52"/>
      <c r="G29" s="53"/>
      <c r="H29" s="53"/>
      <c r="I29" s="53"/>
      <c r="J29" s="53"/>
    </row>
    <row r="30" spans="2:10" ht="9.9499999999999993" customHeight="1" thickBot="1" x14ac:dyDescent="0.25">
      <c r="B30" s="65"/>
      <c r="C30" s="52"/>
      <c r="D30" s="52"/>
      <c r="E30" s="52"/>
      <c r="F30" s="52"/>
      <c r="G30" s="53"/>
      <c r="H30" s="53"/>
      <c r="I30" s="53"/>
      <c r="J30" s="53"/>
    </row>
    <row r="31" spans="2:10" ht="17.100000000000001" customHeight="1" x14ac:dyDescent="0.2">
      <c r="B31" s="157" t="s">
        <v>116</v>
      </c>
      <c r="C31" s="157" t="s">
        <v>117</v>
      </c>
      <c r="D31" s="157" t="s">
        <v>118</v>
      </c>
      <c r="E31" s="157" t="s">
        <v>119</v>
      </c>
      <c r="F31" s="56" t="s">
        <v>120</v>
      </c>
      <c r="G31" s="53"/>
      <c r="H31" s="53"/>
      <c r="I31" s="53"/>
      <c r="J31" s="53"/>
    </row>
    <row r="32" spans="2:10" ht="17.100000000000001" customHeight="1" thickBot="1" x14ac:dyDescent="0.25">
      <c r="B32" s="158"/>
      <c r="C32" s="158"/>
      <c r="D32" s="158"/>
      <c r="E32" s="158"/>
      <c r="F32" s="57" t="s">
        <v>40</v>
      </c>
      <c r="G32" s="53"/>
      <c r="H32" s="53"/>
      <c r="I32" s="53"/>
      <c r="J32" s="53"/>
    </row>
    <row r="33" spans="2:10" ht="17.100000000000001" customHeight="1" thickBot="1" x14ac:dyDescent="0.25">
      <c r="B33" s="66"/>
      <c r="C33" s="67"/>
      <c r="D33" s="67"/>
      <c r="E33" s="67"/>
      <c r="F33" s="67"/>
      <c r="G33" s="53"/>
      <c r="H33" s="53"/>
      <c r="I33" s="53"/>
      <c r="J33" s="53"/>
    </row>
    <row r="34" spans="2:10" ht="17.100000000000001" customHeight="1" thickBot="1" x14ac:dyDescent="0.25">
      <c r="B34" s="68"/>
      <c r="C34" s="69"/>
      <c r="D34" s="69"/>
      <c r="E34" s="69"/>
      <c r="F34" s="69"/>
      <c r="G34" s="53"/>
      <c r="H34" s="53"/>
      <c r="I34" s="53"/>
      <c r="J34" s="53"/>
    </row>
    <row r="35" spans="2:10" ht="17.100000000000001" customHeight="1" thickBot="1" x14ac:dyDescent="0.25">
      <c r="B35" s="68"/>
      <c r="C35" s="69"/>
      <c r="D35" s="69"/>
      <c r="E35" s="69"/>
      <c r="F35" s="69"/>
      <c r="G35" s="53"/>
      <c r="H35" s="53"/>
      <c r="I35" s="53"/>
      <c r="J35" s="53"/>
    </row>
    <row r="36" spans="2:10" ht="17.100000000000001" customHeight="1" thickBot="1" x14ac:dyDescent="0.25">
      <c r="B36" s="68"/>
      <c r="C36" s="69"/>
      <c r="D36" s="69"/>
      <c r="E36" s="69"/>
      <c r="F36" s="69"/>
      <c r="G36" s="53"/>
      <c r="H36" s="53"/>
      <c r="I36" s="53"/>
      <c r="J36" s="53"/>
    </row>
    <row r="37" spans="2:10" ht="17.100000000000001" customHeight="1" thickBot="1" x14ac:dyDescent="0.25">
      <c r="B37" s="153" t="s">
        <v>121</v>
      </c>
      <c r="C37" s="154"/>
      <c r="D37" s="154"/>
      <c r="E37" s="155"/>
      <c r="F37" s="63">
        <f>SUM(F33:F36)</f>
        <v>0</v>
      </c>
      <c r="G37" s="53"/>
      <c r="H37" s="53"/>
      <c r="I37" s="53"/>
      <c r="J37" s="53"/>
    </row>
    <row r="38" spans="2:10" ht="9.9499999999999993" customHeight="1" x14ac:dyDescent="0.2">
      <c r="B38" s="70"/>
      <c r="C38" s="70"/>
      <c r="D38" s="70"/>
      <c r="E38" s="70"/>
      <c r="F38" s="71"/>
      <c r="G38" s="53"/>
      <c r="H38" s="53"/>
      <c r="I38" s="53"/>
      <c r="J38" s="53"/>
    </row>
    <row r="39" spans="2:10" ht="17.100000000000001" customHeight="1" x14ac:dyDescent="0.2">
      <c r="B39" s="51" t="s">
        <v>157</v>
      </c>
      <c r="C39" s="52"/>
      <c r="D39" s="52"/>
      <c r="E39" s="52"/>
      <c r="F39" s="52"/>
      <c r="G39" s="53"/>
      <c r="H39" s="53"/>
      <c r="I39" s="53"/>
      <c r="J39" s="53"/>
    </row>
    <row r="40" spans="2:10" ht="9.9499999999999993" customHeight="1" x14ac:dyDescent="0.2">
      <c r="B40" s="51"/>
      <c r="C40" s="52"/>
      <c r="D40" s="52"/>
      <c r="E40" s="52"/>
      <c r="F40" s="52"/>
      <c r="G40" s="53"/>
      <c r="H40" s="53"/>
      <c r="I40" s="53"/>
      <c r="J40" s="53"/>
    </row>
    <row r="41" spans="2:10" ht="17.100000000000001" customHeight="1" x14ac:dyDescent="0.2">
      <c r="B41" s="55" t="s">
        <v>100</v>
      </c>
      <c r="C41" s="52"/>
      <c r="D41" s="52"/>
      <c r="E41" s="52"/>
      <c r="F41" s="52"/>
      <c r="G41" s="53"/>
      <c r="H41" s="53"/>
      <c r="I41" s="53"/>
      <c r="J41" s="53"/>
    </row>
    <row r="42" spans="2:10" ht="9.9499999999999993" customHeight="1" thickBot="1" x14ac:dyDescent="0.25">
      <c r="B42" s="72"/>
      <c r="C42" s="52"/>
      <c r="D42" s="52"/>
      <c r="E42" s="52"/>
      <c r="F42" s="52"/>
      <c r="G42" s="53"/>
      <c r="H42" s="53"/>
      <c r="I42" s="53"/>
      <c r="J42" s="53"/>
    </row>
    <row r="43" spans="2:10" ht="17.100000000000001" customHeight="1" x14ac:dyDescent="0.2">
      <c r="B43" s="157" t="s">
        <v>122</v>
      </c>
      <c r="C43" s="157" t="s">
        <v>123</v>
      </c>
      <c r="D43" s="157" t="s">
        <v>124</v>
      </c>
      <c r="E43" s="56" t="s">
        <v>120</v>
      </c>
      <c r="F43" s="157" t="s">
        <v>125</v>
      </c>
      <c r="G43" s="53"/>
      <c r="H43" s="53"/>
      <c r="I43" s="53"/>
      <c r="J43" s="53"/>
    </row>
    <row r="44" spans="2:10" ht="17.100000000000001" customHeight="1" thickBot="1" x14ac:dyDescent="0.25">
      <c r="B44" s="158"/>
      <c r="C44" s="158"/>
      <c r="D44" s="158"/>
      <c r="E44" s="57" t="s">
        <v>40</v>
      </c>
      <c r="F44" s="158"/>
      <c r="G44" s="53"/>
      <c r="H44" s="53"/>
      <c r="I44" s="53"/>
      <c r="J44" s="53"/>
    </row>
    <row r="45" spans="2:10" ht="17.100000000000001" customHeight="1" thickBot="1" x14ac:dyDescent="0.25">
      <c r="B45" s="68"/>
      <c r="C45" s="69"/>
      <c r="D45" s="69"/>
      <c r="E45" s="69"/>
      <c r="F45" s="69"/>
      <c r="G45" s="53"/>
      <c r="H45" s="53"/>
      <c r="I45" s="53"/>
      <c r="J45" s="53"/>
    </row>
    <row r="46" spans="2:10" ht="17.100000000000001" customHeight="1" thickBot="1" x14ac:dyDescent="0.25">
      <c r="B46" s="68"/>
      <c r="C46" s="69"/>
      <c r="D46" s="69"/>
      <c r="E46" s="69"/>
      <c r="F46" s="69"/>
      <c r="G46" s="53"/>
      <c r="H46" s="53"/>
      <c r="I46" s="53"/>
      <c r="J46" s="53"/>
    </row>
    <row r="47" spans="2:10" ht="17.100000000000001" customHeight="1" thickBot="1" x14ac:dyDescent="0.25">
      <c r="B47" s="68"/>
      <c r="C47" s="69"/>
      <c r="D47" s="69"/>
      <c r="E47" s="69"/>
      <c r="F47" s="69"/>
      <c r="G47" s="53"/>
      <c r="H47" s="53"/>
      <c r="I47" s="53"/>
      <c r="J47" s="53"/>
    </row>
    <row r="48" spans="2:10" ht="17.100000000000001" customHeight="1" thickBot="1" x14ac:dyDescent="0.25">
      <c r="B48" s="68"/>
      <c r="C48" s="69"/>
      <c r="D48" s="69"/>
      <c r="E48" s="69"/>
      <c r="F48" s="69"/>
      <c r="G48" s="53"/>
      <c r="H48" s="53"/>
      <c r="I48" s="53"/>
      <c r="J48" s="53"/>
    </row>
    <row r="49" spans="2:10" ht="17.100000000000001" customHeight="1" thickBot="1" x14ac:dyDescent="0.25">
      <c r="B49" s="153" t="s">
        <v>43</v>
      </c>
      <c r="C49" s="159"/>
      <c r="D49" s="159"/>
      <c r="E49" s="160"/>
      <c r="F49" s="69">
        <f>SUM(F45:F48)</f>
        <v>0</v>
      </c>
      <c r="G49" s="53"/>
      <c r="H49" s="53"/>
      <c r="I49" s="53"/>
      <c r="J49" s="53"/>
    </row>
    <row r="50" spans="2:10" ht="9.9499999999999993" customHeight="1" x14ac:dyDescent="0.2">
      <c r="B50" s="52"/>
      <c r="C50" s="52"/>
      <c r="D50" s="52"/>
      <c r="E50" s="52"/>
      <c r="F50" s="52"/>
      <c r="G50" s="53"/>
      <c r="I50" s="73" t="s">
        <v>126</v>
      </c>
      <c r="J50" s="53"/>
    </row>
    <row r="51" spans="2:10" ht="17.100000000000001" customHeight="1" x14ac:dyDescent="0.2">
      <c r="B51" s="49" t="str">
        <f>"                                                                                                                   Name                  : " &amp; UPPER(Entry!B7)</f>
        <v xml:space="preserve">                                                                                                                   Name                  : DR. P. RAJESH</v>
      </c>
      <c r="C51" s="52"/>
      <c r="D51" s="72"/>
      <c r="E51" s="72"/>
      <c r="F51" s="52"/>
      <c r="G51" s="53"/>
      <c r="I51" s="53"/>
      <c r="J51" s="73" t="s">
        <v>126</v>
      </c>
    </row>
    <row r="52" spans="2:10" ht="17.100000000000001" customHeight="1" x14ac:dyDescent="0.2">
      <c r="B52" s="49" t="s">
        <v>147</v>
      </c>
      <c r="C52" s="72"/>
      <c r="D52" s="72"/>
      <c r="E52" s="72"/>
      <c r="F52" s="52"/>
      <c r="G52" s="53"/>
      <c r="H52" s="53"/>
      <c r="I52" s="53"/>
      <c r="J52" s="53"/>
    </row>
    <row r="53" spans="2:10" ht="17.100000000000001" customHeight="1" x14ac:dyDescent="0.2">
      <c r="B53" s="50" t="str">
        <f>"Date       : " &amp; ([1]Sheet1!D39) &amp;  "                                                                                                 Designation       :   " &amp; UPPER([1]Sheet1!D14)</f>
        <v>Date       : 0                                                                                                 Designation       :   ASSISTANT PROFESSOR</v>
      </c>
      <c r="C53" s="8"/>
      <c r="D53" s="72"/>
      <c r="E53" s="74"/>
      <c r="F53" s="8"/>
    </row>
  </sheetData>
  <mergeCells count="19">
    <mergeCell ref="B43:B44"/>
    <mergeCell ref="C43:C44"/>
    <mergeCell ref="D43:D44"/>
    <mergeCell ref="F43:F44"/>
    <mergeCell ref="B49:E49"/>
    <mergeCell ref="B37:E37"/>
    <mergeCell ref="B1:F1"/>
    <mergeCell ref="B7:B8"/>
    <mergeCell ref="C7:C8"/>
    <mergeCell ref="D7:D8"/>
    <mergeCell ref="B13:E13"/>
    <mergeCell ref="B19:B20"/>
    <mergeCell ref="C19:C20"/>
    <mergeCell ref="D19:D20"/>
    <mergeCell ref="B25:E25"/>
    <mergeCell ref="B31:B32"/>
    <mergeCell ref="C31:C32"/>
    <mergeCell ref="D31:D32"/>
    <mergeCell ref="E31:E32"/>
  </mergeCells>
  <printOptions horizontalCentered="1"/>
  <pageMargins left="0.2" right="0.01" top="0.42" bottom="0.37" header="0.3" footer="0.3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Entry</vt:lpstr>
      <vt:lpstr>college list</vt:lpstr>
      <vt:lpstr>Pay Details</vt:lpstr>
      <vt:lpstr>PAGE 1 &amp; 2</vt:lpstr>
      <vt:lpstr>PAGE 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2022-02-20T19:26:35Z</dcterms:modified>
</cp:coreProperties>
</file>